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75" windowHeight="4710" tabRatio="822" activeTab="4"/>
  </bookViews>
  <sheets>
    <sheet name="WŁAŚCICIEL" sheetId="1" r:id="rId1"/>
    <sheet name="WSPÓŁPR" sheetId="2" r:id="rId2"/>
    <sheet name="PRACOWNIK" sheetId="3" r:id="rId3"/>
    <sheet name="Dokument" sheetId="4" r:id="rId4"/>
    <sheet name="Podatek wł." sheetId="5" r:id="rId5"/>
    <sheet name="Podatek prac" sheetId="6" r:id="rId6"/>
  </sheets>
  <definedNames/>
  <calcPr fullCalcOnLoad="1"/>
</workbook>
</file>

<file path=xl/comments1.xml><?xml version="1.0" encoding="utf-8"?>
<comments xmlns="http://schemas.openxmlformats.org/spreadsheetml/2006/main">
  <authors>
    <author>G R Z E S I A K</author>
    <author>xxx</author>
  </authors>
  <commentList>
    <comment ref="G2" authorId="0">
      <text>
        <r>
          <rPr>
            <b/>
            <sz val="8"/>
            <rFont val="Tahoma"/>
            <family val="0"/>
          </rPr>
          <t>autor:
Ryszard G R Z E S I A K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8"/>
            <rFont val="Tahoma"/>
            <family val="0"/>
          </rPr>
          <t>dopuszczalna wartość z przedziału 28-31</t>
        </r>
      </text>
    </comment>
    <comment ref="F11" authorId="0">
      <text>
        <r>
          <rPr>
            <sz val="8"/>
            <rFont val="Tahoma"/>
            <family val="0"/>
          </rPr>
          <t xml:space="preserve">dopuszczalne słowa "tak" lub "nie"
</t>
        </r>
      </text>
    </comment>
    <comment ref="B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D27" authorId="0">
      <text>
        <r>
          <rPr>
            <sz val="8"/>
            <rFont val="Tahoma"/>
            <family val="0"/>
          </rPr>
          <t>Obowiązkowe 19,52%</t>
        </r>
      </text>
    </comment>
    <comment ref="D28" authorId="0">
      <text>
        <r>
          <rPr>
            <sz val="8"/>
            <rFont val="Tahoma"/>
            <family val="0"/>
          </rPr>
          <t>Obowiązkowe 13 %</t>
        </r>
      </text>
    </comment>
    <comment ref="D29" authorId="0">
      <text>
        <r>
          <rPr>
            <sz val="8"/>
            <rFont val="Tahoma"/>
            <family val="0"/>
          </rPr>
          <t>2,45%  ubezpieczenie dobrowolne dla osób prowadzących działalność gospodarczą</t>
        </r>
      </text>
    </comment>
    <comment ref="D30" authorId="0">
      <text>
        <r>
          <rPr>
            <sz val="8"/>
            <rFont val="Tahoma"/>
            <family val="0"/>
          </rPr>
          <t>w 1999 r - 2,03%, od 2000 r. ustalane indywidualnie. Obowiązkowe</t>
        </r>
      </text>
    </comment>
    <comment ref="F33" authorId="0">
      <text>
        <r>
          <rPr>
            <sz val="8"/>
            <rFont val="Tahoma"/>
            <family val="0"/>
          </rPr>
          <t xml:space="preserve">1998 r -3%
1999 r -2,6% (?) ze wzgl. na ubruttowienie.
Obowiązkowe
</t>
        </r>
      </text>
    </comment>
    <comment ref="F34" authorId="0">
      <text>
        <r>
          <rPr>
            <sz val="8"/>
            <rFont val="Tahoma"/>
            <family val="0"/>
          </rPr>
          <t>0,15% - obowiązkowe  UWAGA: najprawdopodobniej wpłaty zawieszone na okres I-VI 1999</t>
        </r>
      </text>
    </comment>
    <comment ref="C13" authorId="0">
      <text>
        <r>
          <rPr>
            <sz val="8"/>
            <rFont val="Tahoma"/>
            <family val="0"/>
          </rPr>
          <t xml:space="preserve">w tym wierszu wyświetlają się BŁĘDY
</t>
        </r>
      </text>
    </comment>
    <comment ref="D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E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F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G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H13" authorId="1">
      <text>
        <r>
          <rPr>
            <sz val="8"/>
            <rFont val="Tahoma"/>
            <family val="0"/>
          </rPr>
          <t>Jest to pole, w którym wyświetlane są błędy</t>
        </r>
      </text>
    </comment>
    <comment ref="J13" authorId="1">
      <text>
        <r>
          <rPr>
            <sz val="8"/>
            <rFont val="Tahoma"/>
            <family val="0"/>
          </rPr>
          <t>W tym polu wyświetlają się błędy</t>
        </r>
      </text>
    </comment>
    <comment ref="J10" authorId="0">
      <text>
        <r>
          <rPr>
            <sz val="8"/>
            <rFont val="Tahoma"/>
            <family val="0"/>
          </rPr>
          <t xml:space="preserve">Kwota indywidualnie zadeklarowanej podstawy w ZUS
</t>
        </r>
      </text>
    </comment>
    <comment ref="F10" authorId="0">
      <text>
        <r>
          <rPr>
            <sz val="8"/>
            <rFont val="Tahoma"/>
            <family val="0"/>
          </rPr>
          <t>dopuszczalne słowa "tak" lub "nie"</t>
        </r>
      </text>
    </comment>
    <comment ref="F9" authorId="0">
      <text>
        <r>
          <rPr>
            <sz val="8"/>
            <rFont val="Tahoma"/>
            <family val="0"/>
          </rPr>
          <t>dobrowolne - dopuszczalne słowa "tak" lub "nie"</t>
        </r>
      </text>
    </comment>
    <comment ref="F8" authorId="0">
      <text>
        <r>
          <rPr>
            <sz val="8"/>
            <rFont val="Tahoma"/>
            <family val="0"/>
          </rPr>
          <t>60% tej płacy to minimalna kwota podstawy do składek na ZUS</t>
        </r>
      </text>
    </comment>
    <comment ref="F41" authorId="0">
      <text>
        <r>
          <rPr>
            <sz val="8"/>
            <rFont val="Tahoma"/>
            <family val="0"/>
          </rPr>
          <t xml:space="preserve">Od tej kwoty płatnik może odliczyć swoje wynagrodzenie 0,1%
</t>
        </r>
      </text>
    </comment>
    <comment ref="F42" authorId="0">
      <text>
        <r>
          <rPr>
            <sz val="8"/>
            <rFont val="Tahoma"/>
            <family val="0"/>
          </rPr>
          <t>0,1% od naliczonej kwoty ubezpieczenia zdrowotnego.</t>
        </r>
      </text>
    </comment>
  </commentList>
</comments>
</file>

<file path=xl/comments2.xml><?xml version="1.0" encoding="utf-8"?>
<comments xmlns="http://schemas.openxmlformats.org/spreadsheetml/2006/main">
  <authors>
    <author>G R Z E S I A K</author>
    <author>xxx</author>
  </authors>
  <commentList>
    <comment ref="F8" authorId="0">
      <text>
        <r>
          <rPr>
            <sz val="8"/>
            <rFont val="Tahoma"/>
            <family val="0"/>
          </rPr>
          <t>60% tej płacy to minimalna kwota podstawy do składek na ZUS</t>
        </r>
      </text>
    </comment>
    <comment ref="F9" authorId="0">
      <text>
        <r>
          <rPr>
            <sz val="8"/>
            <rFont val="Tahoma"/>
            <family val="0"/>
          </rPr>
          <t>dobrowolne - dopuszczalne słowa "tak" lub "nie"</t>
        </r>
      </text>
    </comment>
    <comment ref="F10" authorId="0">
      <text>
        <r>
          <rPr>
            <sz val="8"/>
            <rFont val="Tahoma"/>
            <family val="0"/>
          </rPr>
          <t>dopuszczalne słowa "tak" lub "nie"</t>
        </r>
      </text>
    </comment>
    <comment ref="J10" authorId="0">
      <text>
        <r>
          <rPr>
            <sz val="8"/>
            <rFont val="Tahoma"/>
            <family val="0"/>
          </rPr>
          <t xml:space="preserve">Kwota indywidualnie zadeklarowanej podstawy w ZUS
</t>
        </r>
      </text>
    </comment>
    <comment ref="C13" authorId="0">
      <text>
        <r>
          <rPr>
            <sz val="8"/>
            <rFont val="Tahoma"/>
            <family val="0"/>
          </rPr>
          <t xml:space="preserve">w tym wierszu wyświetlają się BŁĘDY
</t>
        </r>
      </text>
    </comment>
    <comment ref="D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E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F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G13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H13" authorId="1">
      <text>
        <r>
          <rPr>
            <sz val="8"/>
            <rFont val="Tahoma"/>
            <family val="0"/>
          </rPr>
          <t>Jest to pole, w którym wyświetlane są błędy</t>
        </r>
      </text>
    </comment>
    <comment ref="J13" authorId="1">
      <text>
        <r>
          <rPr>
            <sz val="8"/>
            <rFont val="Tahoma"/>
            <family val="0"/>
          </rPr>
          <t>W tym polu wyświetlają się błędy</t>
        </r>
      </text>
    </comment>
  </commentList>
</comments>
</file>

<file path=xl/comments3.xml><?xml version="1.0" encoding="utf-8"?>
<comments xmlns="http://schemas.openxmlformats.org/spreadsheetml/2006/main">
  <authors>
    <author>G R Z E S I A K</author>
  </authors>
  <commentList>
    <comment ref="F9" authorId="0">
      <text>
        <r>
          <rPr>
            <sz val="8"/>
            <rFont val="Tahoma"/>
            <family val="0"/>
          </rPr>
          <t xml:space="preserve">dopuszczalne słowa "tak" lub "nie"
</t>
        </r>
      </text>
    </comment>
    <comment ref="J8" authorId="0">
      <text>
        <r>
          <rPr>
            <sz val="8"/>
            <rFont val="Tahoma"/>
            <family val="0"/>
          </rPr>
          <t>dopuszczalna wartość z przedziału 28-31</t>
        </r>
      </text>
    </comment>
    <comment ref="B11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D11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C11" authorId="0">
      <text>
        <r>
          <rPr>
            <sz val="8"/>
            <rFont val="Tahoma"/>
            <family val="0"/>
          </rPr>
          <t xml:space="preserve">w tym wierszu wyświetlają się BŁĘDY
</t>
        </r>
      </text>
    </comment>
    <comment ref="E11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F11" authorId="0">
      <text>
        <r>
          <rPr>
            <sz val="8"/>
            <rFont val="Tahoma"/>
            <family val="0"/>
          </rPr>
          <t>w tym wierszu wyświetlają się BŁĘDY</t>
        </r>
      </text>
    </comment>
    <comment ref="G2" authorId="0">
      <text>
        <r>
          <rPr>
            <b/>
            <sz val="8"/>
            <rFont val="Tahoma"/>
            <family val="0"/>
          </rPr>
          <t>autor:
Ryszard G R Z E S I A K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0"/>
          </rPr>
          <t>Średnie wynagrodzenie z okresu przed chorobą z 6 lub 12 miesięcy zgodnie z przepisami.</t>
        </r>
      </text>
    </comment>
    <comment ref="H13" authorId="0">
      <text>
        <r>
          <rPr>
            <sz val="8"/>
            <rFont val="Tahoma"/>
            <family val="0"/>
          </rPr>
          <t>Pracodawca płaci 80% wynagrodzenia (z powyższego wiersza) przez pierwsze 35 dni choroby</t>
        </r>
      </text>
    </comment>
    <comment ref="H14" authorId="0">
      <text>
        <r>
          <rPr>
            <sz val="8"/>
            <rFont val="Tahoma"/>
            <family val="0"/>
          </rPr>
          <t>ZUS refunduje 80% wynagrodzenia za okres od 36 do 90 dni choroby</t>
        </r>
      </text>
    </comment>
    <comment ref="H15" authorId="0">
      <text>
        <r>
          <rPr>
            <sz val="8"/>
            <rFont val="Tahoma"/>
            <family val="0"/>
          </rPr>
          <t>ZUS refunduje 100% wynagrodzenia za czas choroby od 91 dnia zwolnienia.</t>
        </r>
      </text>
    </comment>
    <comment ref="D27" authorId="0">
      <text>
        <r>
          <rPr>
            <sz val="8"/>
            <rFont val="Tahoma"/>
            <family val="0"/>
          </rPr>
          <t>9,76%+9,76%=19,52%
płaci pracownik i pracodawca</t>
        </r>
      </text>
    </comment>
    <comment ref="D28" authorId="0">
      <text>
        <r>
          <rPr>
            <sz val="8"/>
            <rFont val="Tahoma"/>
            <family val="0"/>
          </rPr>
          <t>6,5%+6,5%=13%
płaci pracodawca i pracownik</t>
        </r>
      </text>
    </comment>
    <comment ref="D29" authorId="0">
      <text>
        <r>
          <rPr>
            <sz val="8"/>
            <rFont val="Tahoma"/>
            <family val="0"/>
          </rPr>
          <t>2,45% płaci pracownik</t>
        </r>
      </text>
    </comment>
    <comment ref="D30" authorId="0">
      <text>
        <r>
          <rPr>
            <sz val="8"/>
            <rFont val="Tahoma"/>
            <family val="0"/>
          </rPr>
          <t>w 1999 r - 2,03% płaci pracodawca, od 2000 r. ustalane indywidualnie</t>
        </r>
      </text>
    </comment>
    <comment ref="F33" authorId="0">
      <text>
        <r>
          <rPr>
            <sz val="8"/>
            <rFont val="Tahoma"/>
            <family val="0"/>
          </rPr>
          <t>Płaci pracodawca wg ustawy budzetowej:
1998 r - 3,0%
1999 r - 2,6% ???</t>
        </r>
      </text>
    </comment>
    <comment ref="F34" authorId="0">
      <text>
        <r>
          <rPr>
            <sz val="8"/>
            <rFont val="Tahoma"/>
            <family val="0"/>
          </rPr>
          <t>0,15% - płaci pracodawca  UWAGA: najprawdopodobniej wpłaty zawieszone na okres I-VI 1999</t>
        </r>
      </text>
    </comment>
    <comment ref="F41" authorId="0">
      <text>
        <r>
          <rPr>
            <sz val="8"/>
            <rFont val="Tahoma"/>
            <family val="0"/>
          </rPr>
          <t>Od tej kwoty płatnik może odliczyć swoje wynagrodzenie w wysokości 0,1%</t>
        </r>
      </text>
    </comment>
  </commentList>
</comments>
</file>

<file path=xl/sharedStrings.xml><?xml version="1.0" encoding="utf-8"?>
<sst xmlns="http://schemas.openxmlformats.org/spreadsheetml/2006/main" count="439" uniqueCount="308">
  <si>
    <t>Licencja dla firmy:</t>
  </si>
  <si>
    <t>Program chroniony prawem autorskim © RG</t>
  </si>
  <si>
    <t>tel. (42) 673-13-93, e-mail: arjgrz@ld.onet.pl</t>
  </si>
  <si>
    <t>Pan/Pani:</t>
  </si>
  <si>
    <t>DANE  DO  WYPEŁNIENIA</t>
  </si>
  <si>
    <t>Płaca brutto pracownika:</t>
  </si>
  <si>
    <t xml:space="preserve">Miesiąc ma dni  </t>
  </si>
  <si>
    <t>Ilość dni choroby w danym miesiącu płatne przez pracodawcę:</t>
  </si>
  <si>
    <t>Ilość dni choroby w danym miesiącu płatne przez ZUS -  80 %</t>
  </si>
  <si>
    <t>Ilość dni choroby w danym miesiącu płatne przez ZUS - 100 %</t>
  </si>
  <si>
    <t>UBEZPIECZENIE       SPOŁECZNE  37 %</t>
  </si>
  <si>
    <t>Płaca bez choroby:</t>
  </si>
  <si>
    <t>wynagrodzenie za czas choroby:</t>
  </si>
  <si>
    <t>zasiłek chorobowy:</t>
  </si>
  <si>
    <t>Podstawa do ubezpieczenia społecznego:</t>
  </si>
  <si>
    <t>Płaci pracownik:</t>
  </si>
  <si>
    <t>Płaci pracodawca:</t>
  </si>
  <si>
    <t>Łącznie:</t>
  </si>
  <si>
    <t>Ubezpieczenie emerytalne:</t>
  </si>
  <si>
    <t>Ubezpieczenie rentowe:</t>
  </si>
  <si>
    <t>Ubezpieczenie chorobowe:</t>
  </si>
  <si>
    <t>Ubezpieczenie wypadkowe:</t>
  </si>
  <si>
    <t>Razem ubezp. Społeczne:</t>
  </si>
  <si>
    <t>Fundusz Pracy:</t>
  </si>
  <si>
    <t>F.G.Ś.P:</t>
  </si>
  <si>
    <t>Łączne obciążenie pracodawcy tym pracownikiem:</t>
  </si>
  <si>
    <t>UBEZPIECZENIE    ZDROWOTNE  7,5 %</t>
  </si>
  <si>
    <t>Podstawa do ubezpieczenia zdrowotnego:</t>
  </si>
  <si>
    <t>Ubezpieczenie zdrowotne:</t>
  </si>
  <si>
    <t>nie</t>
  </si>
  <si>
    <t>Średnie wynagrodzenie za 6 (12) miesięcy do chorobowego:</t>
  </si>
  <si>
    <t>Czy przekroczona średnia płaca x 30</t>
  </si>
  <si>
    <t>Czy płaci ubezpieczenie chorobowe</t>
  </si>
  <si>
    <t>Średn. płaca krajowa w poprz. kwartale</t>
  </si>
  <si>
    <t>tak</t>
  </si>
  <si>
    <t>Czy zadeklarowana indywid. stawka ZUS</t>
  </si>
  <si>
    <t xml:space="preserve">a) Pola przeznaczone do wypełnienia mają kolor biały i znajdują się wyłącznie w szarym obszarze opisanym </t>
  </si>
  <si>
    <t xml:space="preserve">       jako "DANE DO WYPEŁNIENIA"</t>
  </si>
  <si>
    <t>b) Pole to przedzielone jest podwójną linią. Jeśli pracownik w rozliczanym miesiącu nie miał zwolnień</t>
  </si>
  <si>
    <t xml:space="preserve"> lekarskich wypełnia się tylko górną część pola wpisując: nazwisko pracownika, należną mu za miesiąc płacę</t>
  </si>
  <si>
    <t xml:space="preserve"> brutto oraz ilość dni w rozliczanym miesiącu kalendarzowym i czy został przekroczony roczny pułap</t>
  </si>
  <si>
    <t xml:space="preserve"> odprowadzania składek na ubezpieczenie emerytalne i rentowe.</t>
  </si>
  <si>
    <t>UWAGI:</t>
  </si>
  <si>
    <t xml:space="preserve">podziale wynagrodzenia na płacę i zasiłek chorobowy do wyliczeń należy brać jak do tej pory statystyczny </t>
  </si>
  <si>
    <t>Dlatego zostało wprowadzone pole, które użytkownik powinien wypełnić wartością z przedziału 28-31.</t>
  </si>
  <si>
    <t>Przy pierwszym starcie arkusza pole zawiera wartość 30.</t>
  </si>
  <si>
    <t>ubezpieczenia emerytalnego i rentowego za cały rozliczany miesiąc. Jeśli więc zajdzie przypadek (raz w roku</t>
  </si>
  <si>
    <t>dla tego miesiąca. Dane do deklaracji ZUS należy wpisać sumując wyniki obliczeń z obydwu wydruków.</t>
  </si>
  <si>
    <t xml:space="preserve">c) Jeśli pracownik w danym miesiącu korzystał ze zwolnienia lekarskiego należy także wypełnić odpowiednie </t>
  </si>
  <si>
    <t xml:space="preserve">średnie wynagrodzenie za 6 ( w wyjątkowych przypadkach 12 - wg przepisów) miesięcy, które będzie </t>
  </si>
  <si>
    <t>miesiąc w ramach pierwszych 35 dni zwolnienia lekarskiego.</t>
  </si>
  <si>
    <t>miesiąc w ramach  zwolnienia lekarskiego pomiędzy 36, a 90 dniem choroby.</t>
  </si>
  <si>
    <t>w przypadku złego wprowadzenia danych do poszczególnych pól.</t>
  </si>
  <si>
    <t xml:space="preserve">- BŁĄD nie     = w polu "Czy przekroczona średnia płaca x 30" wpisano wartość inną niż "tak" lub "nie" </t>
  </si>
  <si>
    <t>- BŁĄD chor   = wypełniono któreś z pól "ilość dni choroby......", a nie podano średniego wynagrodzenia</t>
  </si>
  <si>
    <t xml:space="preserve">- Średnie wynagrodzenie za 6(12) miesięcy do chorobowego - należy wpisać wyliczone poza programem </t>
  </si>
  <si>
    <t xml:space="preserve">- Ilość dni choroby w danym miesiącu płatne przez pracodawcę - ilość dni przypadających na dany </t>
  </si>
  <si>
    <t xml:space="preserve">- Ilość dni choroby w danym miesiącu płatne przez ZUS - 80 % - ilość dni przypadających na dany </t>
  </si>
  <si>
    <t>- Ilość dni choroby w danym miesiącu płatne przez ZUS - 100%  - ilość dni przypadających na dany</t>
  </si>
  <si>
    <t>- BŁĄD dni     = ilość dni choroby przekracza ilość dni w miesiącu</t>
  </si>
  <si>
    <t>miesiąc w ramach  zwolnienia lekarskiego od 91 dnia choroby.</t>
  </si>
  <si>
    <t xml:space="preserve">rogu czerwonym trójkątem naprowadzi się wskaźnik myszy (bez klikania) wtedy zostanie wyświetlony </t>
  </si>
  <si>
    <t>odpowiedni komentarz.</t>
  </si>
  <si>
    <t>nielegalnego kopiowania na inne komputery niż na komputer, na który została udzielona licencja.</t>
  </si>
  <si>
    <t>arjgrz@ld.onet.pl</t>
  </si>
  <si>
    <t>OPIS ARKUSZA  MS-EXCEL DO WYLICZANIA  SKŁADEK</t>
  </si>
  <si>
    <t>1. Opis ogólny.</t>
  </si>
  <si>
    <t xml:space="preserve">Emitowane z niego wydruki mogą być załącznikami do listy płac w celu poinformowania pracownika o </t>
  </si>
  <si>
    <t>W prostym wariancie (bez zwolnień lekarskich) wymaga wprowadzenia tylko jednej danej dla pracownika.</t>
  </si>
  <si>
    <t xml:space="preserve">wypełnione jest na "nie" - co obejmuje nieporównywalną większość przypadków) arkusz nie wylicza </t>
  </si>
  <si>
    <t>Ilość dni choroby w danym miesiącu płatne przez ZUS</t>
  </si>
  <si>
    <t>zł.</t>
  </si>
  <si>
    <t>Kwota otrzymanego z ZUS zasiłku</t>
  </si>
  <si>
    <t>za dni zwolnienia ogółem</t>
  </si>
  <si>
    <t>Podstawa bez chorób</t>
  </si>
  <si>
    <t>Kwota złotych</t>
  </si>
  <si>
    <t>Łączne obciążenie opłatami:</t>
  </si>
  <si>
    <t>Razem ubezp. społeczne:</t>
  </si>
  <si>
    <t>UWAGA: Kwotę ubezpieczenia zdrowotnego należy odliczyć od wyliczonej</t>
  </si>
  <si>
    <t xml:space="preserve">                zaliczki na podatek dochodowy od osób fizycznych</t>
  </si>
  <si>
    <t>2. Instrukcja wypełniania arkusza dla rozliczenia pracownika.</t>
  </si>
  <si>
    <t xml:space="preserve">    Należy otworzyć arkusz z zakładką PRACOWNIK.</t>
  </si>
  <si>
    <t xml:space="preserve">       pola w dolnej części szarego obszaru (poniżej podwójnej linii):</t>
  </si>
  <si>
    <t xml:space="preserve">    Należy otworzyć arkusz z zakładką WŁAŚCICIEL.</t>
  </si>
  <si>
    <t>zadeklarowanej indywidualnej stawce ZUS.</t>
  </si>
  <si>
    <t>pola poniżej podwójnej linii.</t>
  </si>
  <si>
    <t>Pierwszy wiersz tego obszaru jest zwykłym kalkulatorem, który na podstawie kwoty i ilości dni</t>
  </si>
  <si>
    <t>4. Podpowiedzi i błędy.</t>
  </si>
  <si>
    <t xml:space="preserve">Arkusz posiada prosty system informowania i podpowiadania. Jeśli na pole oznaczone w górnym, prawym </t>
  </si>
  <si>
    <t>Bezpośrednio powyżej podwójnej linii dzielącej szare pole znajduje się wiersz błędów. Będą one wyświetlane</t>
  </si>
  <si>
    <t>Przy przeliczaniu pracownika (zakładka PRACOWNIK) mogą wystąpić następujące rodzaje błędów:</t>
  </si>
  <si>
    <t>- BŁĄD m-c    = wartość w polu "Miesiąc ma dni" jest spoza przedziału 28-31</t>
  </si>
  <si>
    <t xml:space="preserve">                                 do obliczenia zasiłku (lub odwrotnie).</t>
  </si>
  <si>
    <t>Przy przeliczaniu właściciela (zakładka WŁAŚCICIEL) mogą wystąpić następujące rodzaje błędów:</t>
  </si>
  <si>
    <t xml:space="preserve">- BŁĄD nie     = w polu, w którym może wystąpić tylko "tak" lub "nie" występuje inna wartość </t>
  </si>
  <si>
    <t>UWAGA: Nie wolno korzystać z wyników pracy programu, jeżeli w linii błędów wyświetlony jest</t>
  </si>
  <si>
    <t xml:space="preserve">komunikat o błędzie, gdyż wyniki obliczeń mogą być nieprawidłowe. </t>
  </si>
  <si>
    <t xml:space="preserve">9. Wszelkie uwagi odnośnie działania arkusza lub jego dalszej rozbudowy proszę kierować na adres e-mail: </t>
  </si>
  <si>
    <t>3. Instrukcja wypełniania arkusza dla rozliczenia właściciela.</t>
  </si>
  <si>
    <t>XXXXX</t>
  </si>
  <si>
    <t xml:space="preserve">     jeśli tak to ile zł.</t>
  </si>
  <si>
    <t>odprowadzanych składkach, co jest obowiązkiem pracodawcy.</t>
  </si>
  <si>
    <t>- Na dzień zakończenia pracy nad programem (grudzień 1998 r)  nie było jeszcze pewne, czy przy</t>
  </si>
  <si>
    <t xml:space="preserve">- Jeżeli pole "Czy przekroczona średnia płaca x  30" zawiera wartość "tak"  (przy pierwszym starcie </t>
  </si>
  <si>
    <t>stawka).</t>
  </si>
  <si>
    <t>Jeśli zadeklarowano indywidualną stawkę należy to pole pozostawić niewypełnione, a wypełnić pola niżej.</t>
  </si>
  <si>
    <t>Pole "Miesiąc ma dni" wypełnia się jak dla pracownika.</t>
  </si>
  <si>
    <t xml:space="preserve">Pole "Czy płaci ubezpieczenie chorobowe" wypełnia się wyrazem "tak" lub "nie", gdyż ubezpieczenie </t>
  </si>
  <si>
    <t>chorobowe dla prowadzących działalność gospodarczą nie jest obowiązkowe.</t>
  </si>
  <si>
    <t xml:space="preserve">zasiłku chorobowego wylicza kwotę zasiłku przypadającą na jeden dzień choroby. Po wypełnieniu pola </t>
  </si>
  <si>
    <t xml:space="preserve">dla właścicieli, którzy zadeklarowali wysoką stawkę indywidualną), że część zadeklarowanej stawki </t>
  </si>
  <si>
    <t xml:space="preserve">b) Pole to przedzielone jest podwójną linią. Jeśli właściciel w rozliczanym miesiącu nie korzystał z zasiłku </t>
  </si>
  <si>
    <t xml:space="preserve">Omawiany program napisany został dla małego lub średniego przedsiębiorstwa i jest szczególnie pomocny </t>
  </si>
  <si>
    <t>w firmach, dla których Program Płatnika jest narzędziem zbyt skomplikowanym lub zbyt wymagającym</t>
  </si>
  <si>
    <t>odnośnie sprzętu.  Znakomicie ułatwia wyliczenia poszczególnych składników dla każdego pracownika</t>
  </si>
  <si>
    <t xml:space="preserve">i eliminuje pomyłki w obliczeniach. </t>
  </si>
  <si>
    <t xml:space="preserve">Program ten jest arkuszem MS EXCEL i wykonuje przeliczenie danych niezbędnych do nowych </t>
  </si>
  <si>
    <t>formularzy ZUS w ramach obowiązującej od 01.01.1999 roku reformy systemu emerytalnego.</t>
  </si>
  <si>
    <t>Jest nieoceniony dla tych osób i mniejszych firm, które zamierzają wypełniać nowe formularze ręcznie.</t>
  </si>
  <si>
    <t>Wylicza dla pracownika, bądź właściciela firmy wszystkie składniki nowego ubezpieczenia społecznego</t>
  </si>
  <si>
    <t xml:space="preserve">(emerytalny, rentowy, chorobowy, wypadkowy), a także składkę na ubezpieczenie zdrowotne oraz </t>
  </si>
  <si>
    <t>opłaty na Fundusz Pracy i Fundusz Gwarantowanych Świadczeń Pracowniczych zgodnie z nowymi</t>
  </si>
  <si>
    <t xml:space="preserve">przepisami. Oprogramowanie uwzględnia także przy wyliczeniach okres choroby </t>
  </si>
  <si>
    <t>(zarówno wynagrodzenie za czas choroby jak i zasiłek chorobowy płacony przez ZUS).</t>
  </si>
  <si>
    <t xml:space="preserve">Program wymaga systemu Windows 3.x lub Windows 9x oraz zainstalowanego arkusza kalkulacyjnego </t>
  </si>
  <si>
    <t xml:space="preserve">EXCEL w wersji 5.0 lub nowszej. Jest bardzo łatwy w obsłudze i mało wymagający w stosunku do </t>
  </si>
  <si>
    <t xml:space="preserve">zestawu komputerowego. </t>
  </si>
  <si>
    <t xml:space="preserve">arkusza wypełnione jest na "nie" - co obejmuje nieporównywalną większość przypadków) arkusz </t>
  </si>
  <si>
    <t xml:space="preserve">nie wylicza ubezpieczenia emerytalnego i rentowego za cały rozliczany miesiąc. </t>
  </si>
  <si>
    <t xml:space="preserve">naliczona składka od całego wynagrodzenia miesięcznego, co jest rozwiązaniem nieprawidłowym. </t>
  </si>
  <si>
    <t xml:space="preserve">Dla dokładnego rozliczenia takiego przypadku należy wykonać podwójne przetwarzanie tego </t>
  </si>
  <si>
    <t xml:space="preserve">                                 "jeśli tak to ile" występuje wartość większa od zera lub w polu jest "tak", a brak kwoty.</t>
  </si>
  <si>
    <t>- BŁĄD zas    =  wypełniono pole "kwota otrzymanego z ZUS zasiłku, a ilość dni zasiłku ma wartość</t>
  </si>
  <si>
    <t xml:space="preserve">                                 mniejszą od 31 (zasiłek przysługuje, gdy zwolnienie trwa dłużej niż 30 dni). </t>
  </si>
  <si>
    <t>- BŁĄD sta     =  próba wprowadzenia średniej płacy krajowej przy ustawionym na "tak" polu</t>
  </si>
  <si>
    <t xml:space="preserve">                                 mówiącym o zadeklarowaniu indywidualnej stawki.</t>
  </si>
  <si>
    <t>7. Autorzy arkusza dołożyli wszelkich starań, aby oprogramowanie pracowało prawidłowo i było zgodne</t>
  </si>
  <si>
    <t xml:space="preserve">Jeśli więc zajdzie przypadek (raz w roku dla dobrze zarabiających pracowników), że część miesięcznego </t>
  </si>
  <si>
    <t xml:space="preserve">pracownika dla danego miesiąca. Pierwsze z opcją "nie" i wpisaną tą częścią wynagrodzenia, która nie </t>
  </si>
  <si>
    <t xml:space="preserve">powoduje przekroczenia i drugie z opcją "tak" i pozostałą częścią wynagrodzenia </t>
  </si>
  <si>
    <t xml:space="preserve">z przepisami obowiązującymi w momencie przekazania programu użytkownikowi, nie ponoszą jednak </t>
  </si>
  <si>
    <t>wynagrodzenia spowoduje przekroczenie tej granicy to przy zaznaczonej opcji "tak", nie zostanie</t>
  </si>
  <si>
    <t>podstawą do wyliczenia wynagrodzenia za chorobę lub zasiłku chorobowego.</t>
  </si>
  <si>
    <t xml:space="preserve">       chorobowego płaconego przez ZUS wypełnia się tylko górną część pola wpisując odpowiednie dane.</t>
  </si>
  <si>
    <t>Pole "Czy przekroczona średnia ....." wypełnia się wg instrukcji jak dla pracownika, a ma sens tylko przy</t>
  </si>
  <si>
    <t>Ilości dni choroby.....  wyliczana jest kwota zasiłku chorobowego przypadająca na rozliczany miesiąc.</t>
  </si>
  <si>
    <t>- Na dzień zakończenia pracy nad programem (grudzień 1998 r.) nie było jeszcze pewne, czy przy</t>
  </si>
  <si>
    <t>- BŁĄD ile      = w polu "Czy zadeklarowana indywidualna stawka ZUS" jest "nie", a w polu</t>
  </si>
  <si>
    <t>5. Pozostałe pola arkusza (na białym tle) są polami, które pokazują wyniki obliczeń.</t>
  </si>
  <si>
    <t xml:space="preserve">otwartym danym arkuszu. Standardowo parametry wydruku są ustawione dla formatu A-4. Jeśli drukowanie </t>
  </si>
  <si>
    <t xml:space="preserve">ma się odbywać z innymi parametrami należy je ustawić w programie EXCEL </t>
  </si>
  <si>
    <t>(Plik/Ustawienia strony i Plik/Drukuj).</t>
  </si>
  <si>
    <t>8. Arkusz posiada wmontowane procedury, które mogą losowo fałszować wyniki obliczeń w przypadku jego</t>
  </si>
  <si>
    <t>c)  Jeśli właściciel korzystał w rozliczanym miesiącu z zasiłku chorobowego należy wypełnić odpowiednie</t>
  </si>
  <si>
    <t>miesiąc (czyli 30 dni), czy faktyczną ilość dni w danym miesiącu jak napisano w poradniku ZUS.</t>
  </si>
  <si>
    <t>Jeśli nie została w ZUS zadeklarowana wyższa opłata, przeliczenie następuje po wypełnieniu pola</t>
  </si>
  <si>
    <t xml:space="preserve">miesiąc (czyli 30 dni), czy faktyczną ilość dni w danym miesiącu jak napisano w poradniku ZUS. </t>
  </si>
  <si>
    <t>- Jeżeli pole "Czy przekroczona średnia płaca x  30" zawiera wartość "tak" (przy pierwszym starcie arkusza</t>
  </si>
  <si>
    <t xml:space="preserve">Pierwsze z opcją "nie" i wpisaną tą częścią  zadeklarowanej indywidualnie podstawy, która nie powoduje </t>
  </si>
  <si>
    <t xml:space="preserve">przekroczenia i drugie z opcją "tak" i pozostałą częścią zadeklarowanej podstawy  dla tego miesiąca. </t>
  </si>
  <si>
    <t>Dane do deklaracji ZUS należy wpisać sumując wyniki obliczeń z obydwu wydruków.</t>
  </si>
  <si>
    <t xml:space="preserve">6. Wydruki z obliczeń lub dokumentacji uzyskuje się przez kliknięcie ikony z drukarką przy </t>
  </si>
  <si>
    <t xml:space="preserve">spowoduje przekroczenie tej granicy, to przy zaznaczonej opcji "tak", nie zostanie naliczona składka od </t>
  </si>
  <si>
    <t>całego zadeklarowanego w tym miesiącu wynagrodzenia, co jest rozwiązaniem nieprawidłowym.</t>
  </si>
  <si>
    <t xml:space="preserve">Dla dokładnego rozliczenia takiego przypadku należy wykonać podwójne przetwarzanie tego miesiąca. </t>
  </si>
  <si>
    <t>DANE STAŁE</t>
  </si>
  <si>
    <t>Kwota zmniejszająca opodatek</t>
  </si>
  <si>
    <t>Miesięczne KUP</t>
  </si>
  <si>
    <t>miesięczne</t>
  </si>
  <si>
    <t>roczne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</si>
  <si>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</si>
  <si>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</si>
  <si>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</si>
  <si>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</si>
  <si>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</si>
  <si>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</si>
  <si>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</si>
  <si>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</si>
  <si>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</si>
  <si>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</si>
  <si>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</si>
  <si>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</si>
  <si>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I-I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</si>
  <si>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</si>
  <si>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</si>
  <si>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</si>
  <si>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</si>
  <si>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</si>
  <si>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</si>
  <si>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</si>
  <si>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</si>
  <si>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</si>
  <si>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</si>
  <si>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</si>
  <si>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Przychód</t>
  </si>
  <si>
    <t>KUP</t>
  </si>
  <si>
    <t>ZUS</t>
  </si>
  <si>
    <t>Podst pod</t>
  </si>
  <si>
    <t>Zaliczka br</t>
  </si>
  <si>
    <t>Ub. Zdrowot</t>
  </si>
  <si>
    <t>Zaliczka</t>
  </si>
  <si>
    <t>Zalicz-UZ</t>
  </si>
  <si>
    <t>Okres</t>
  </si>
  <si>
    <t>Przedziały podatkowe</t>
  </si>
  <si>
    <t>dla pracownika:</t>
  </si>
  <si>
    <t>Zal zaokr.</t>
  </si>
  <si>
    <t>Wpł zaliczki</t>
  </si>
  <si>
    <t>Podst podatku</t>
  </si>
  <si>
    <t>Zaliczka brutto</t>
  </si>
  <si>
    <t>Ub. zdrowot</t>
  </si>
  <si>
    <t xml:space="preserve">Średnia płaca krajowa.. przez wzięcie za podstawę do ZUS jej 60% (zgodnie z przepisami minimalna </t>
  </si>
  <si>
    <t>odpowiedzialności za skutki spowodowane złą obsługą programu lub jego niezgodnością z przepisami,</t>
  </si>
  <si>
    <t>czy niespełnieniem wszystkich oczekiwań użytkownika.</t>
  </si>
  <si>
    <t>BEZPŁATNY DODATEK - wyliczanie zaliczek na podatek dochodowy dla pracowników i osób</t>
  </si>
  <si>
    <t>prowadzących działalność gospodarczą.</t>
  </si>
  <si>
    <t>Aby korzystać z tych możliwości należy otworzyć odpowiedni arkusz (zakładka podatek pracownika</t>
  </si>
  <si>
    <t>lub podatek właściciela) i wypełnić białe pola dla przetwarzanego miesiąca.</t>
  </si>
  <si>
    <t>Dla właściciela są to:</t>
  </si>
  <si>
    <t>Przychód brutto - wpisany z KPiR przychód za dany miesiąc,</t>
  </si>
  <si>
    <t>KUP - koszty uzyskania przychodu za dany miesiąc,</t>
  </si>
  <si>
    <t>ZUS - wyliczone w module WŁAŚCICIEL składki na ubezpieczenie społeczne,</t>
  </si>
  <si>
    <t>Ubezpieczenie zdrowotne - kwotę ubezpieczenia wyliczoną w module WŁAŚCIEL.</t>
  </si>
  <si>
    <t>Dla pracownika są to:</t>
  </si>
  <si>
    <t>Przychód -przychód brutto pracownika będący podstawą opodatkowania.</t>
  </si>
  <si>
    <t>Kolumny w arkuszach, w których liczby mają kolor szary mają charakter technologiczny i proszę nie</t>
  </si>
  <si>
    <t>zwracać uwagi na ich ewentualne ujemne wartości. Kolumny te są wyświetlane dla ewentualnej</t>
  </si>
  <si>
    <t>kontroli procesu przeliczenia.</t>
  </si>
  <si>
    <t>ZUS i Ubezpieczenie zdrowotne - wartości ubezpieczenia wyliczone w module PRACOWNIK</t>
  </si>
  <si>
    <t>(należy przepisać tylko kwotę płaconą przez pracownika)</t>
  </si>
  <si>
    <t>rok 1999 mc</t>
  </si>
  <si>
    <t>Podatek</t>
  </si>
  <si>
    <t>Potrącenia</t>
  </si>
  <si>
    <t>Wynagrodz.</t>
  </si>
  <si>
    <t>Do wypłaty</t>
  </si>
  <si>
    <t>PASEK WYNAGRODZEŃ dla pracownika za miesiąc od stycznia do czerwca</t>
  </si>
  <si>
    <t>PASEK WYNAGRODZEŃ dla pracownika za miesiąc od lipca do grudnia</t>
  </si>
  <si>
    <t>RAZEM:</t>
  </si>
  <si>
    <t>NA  UBEZPIECZENIE SPOŁECZNE I ZDROWOTNE w roku 1999.</t>
  </si>
  <si>
    <t xml:space="preserve">wyliczaniu zasiłku chorobowego do wyliczeń należy brać jak do tej pory statystyczny </t>
  </si>
  <si>
    <t>Zaliczka na podatek dochodowy jest wyliczana narastająco i z uwzględnieniem zapłaconych</t>
  </si>
  <si>
    <t>już kwot zaliczek. Zaliczka oraz zaliczka narastająco zaokrąglona jest do 10 groszy.</t>
  </si>
  <si>
    <t>Wyliczenie zaliczki następuje dla każdego miesiąca oddzielnie.</t>
  </si>
  <si>
    <t>Program oblicza także kwotę do wypłaty  (można wypełnić pole potrącenia).</t>
  </si>
  <si>
    <t>Przy większej ilości pracowników niż jeden można prowadzić pełną ewidencję wszystkich</t>
  </si>
  <si>
    <t>pod warunkiem zapamiętania danych pracownika na uzupełnianym co miesiąc arkuszu</t>
  </si>
  <si>
    <t>w osobnym pliku dla każdego pracownika np. pod nazwą z jego nazwiskiem.</t>
  </si>
  <si>
    <t>Można także drukować miesięczne "paski wynagrodzeń" po wprowadzeniu danych pracownika za</t>
  </si>
  <si>
    <t>dany miesiąc. Wystarczy w tym celu wpisać w jednym z dolnych pasków w białe pole numer</t>
  </si>
  <si>
    <t>do wydruku paska. W górnym pasku można drukować m-ce od 1 do 6, a pozostałe w dolnym</t>
  </si>
  <si>
    <t>Aby na pasku pojawiło się nazwisko pracownika, należy je wpisać w górnej części arkusza.</t>
  </si>
  <si>
    <t>Ubezpiecz. Zdrowotne</t>
  </si>
  <si>
    <t>Ubezpieczenie wypadkowe % =</t>
  </si>
  <si>
    <t>Fundusz pracy % =</t>
  </si>
  <si>
    <t>Pracodawca płaci chorobowe (do 35 dni) % =</t>
  </si>
  <si>
    <t>Program stosuje następujące</t>
  </si>
  <si>
    <t>wartości</t>
  </si>
  <si>
    <t>(można je zmienić)</t>
  </si>
  <si>
    <t>Fundusz Gwarantowanych Świadczeń Pracow. %</t>
  </si>
  <si>
    <t>Najnowsze uwagi !!!</t>
  </si>
  <si>
    <t>Od wersji 2.21 wprowadzono możliwość wprowadzenia elementów, które mają ulec zmianie w</t>
  </si>
  <si>
    <t>najbliższym czasie. Są to:</t>
  </si>
  <si>
    <t>&gt; % ubezpieczenia wypadkowego - wstępnie ustawiony na 2,03</t>
  </si>
  <si>
    <t>&gt; % opłaty na fundusz pracy - ustawiony na 3 (ma ulec zmniejszeniu na 2,6)</t>
  </si>
  <si>
    <t>(sejm obraduje nad zmniejszeniem)</t>
  </si>
  <si>
    <t>&gt; % opłaty na FGŚP - ustawiony na 0,15 (ma ulec czasowemu zawieszeniu - wtedy wprowadzić 0)</t>
  </si>
  <si>
    <t xml:space="preserve">&gt; % wynagrodzenia chorobowego - ustawiony na 80 (np kobiety w ciąży </t>
  </si>
  <si>
    <t>100)</t>
  </si>
  <si>
    <t>Aby wprowadzić zmiany należy skorygować odpowiednie wartości w szarym polu na dole</t>
  </si>
  <si>
    <t>arkuszy WŁAŚCICIEL i PRACOWNICY.</t>
  </si>
  <si>
    <t>dla:</t>
  </si>
  <si>
    <t>Osoba współpracująca</t>
  </si>
  <si>
    <t>ver. 2.23 umożliwia dodatkowo wyliczanie składki ZUS dla osoby współpracującej</t>
  </si>
  <si>
    <t>poprawiono także błąd poprzednich wersji w wyliczaniu ubezpieczenia zdrowotnego dla właściciela.</t>
  </si>
  <si>
    <t>ver. 2.24 poprawiono zaokrąglanie.</t>
  </si>
  <si>
    <t>Płaci płatnik</t>
  </si>
  <si>
    <t>Łącznie</t>
  </si>
  <si>
    <t>Płaci os współprac.</t>
  </si>
  <si>
    <t xml:space="preserve">0,1% = </t>
  </si>
  <si>
    <t>wynagrodzenie płatnika</t>
  </si>
  <si>
    <t>wynagr. Płatnika</t>
  </si>
  <si>
    <t>0,1%=</t>
  </si>
  <si>
    <t>ver. 2.25 poprawiono błąd w wyliczaniu zdrowotnego dla osoby współpracującej</t>
  </si>
  <si>
    <t>Wynagrodzenie płatnika:</t>
  </si>
  <si>
    <t>oraz skorygowano wyliczanie zdrowotnego dla pracownika nie licząc do podstawy zasiłku</t>
  </si>
  <si>
    <t>chorobowego wypłacanego przez ZUS (Rzeczpospolita 1.12.99), dopisano wynagrodzenie płatnika.</t>
  </si>
  <si>
    <t>Czy jest to pierwsze miejsce zatr.............. - należy wpisać tak gdy jest pozytywna odpowiedź na</t>
  </si>
  <si>
    <t>to pytanie - efekt nalicza się kwota zmniejszenia podatku (rok 99 - zł. 32,39)</t>
  </si>
  <si>
    <t>,wpisanie innego słowa</t>
  </si>
  <si>
    <t>powoduje brak zmniejszenia podatku (emeryci, kolejne miejsca pracy).</t>
  </si>
  <si>
    <t>ver. 2.26 wprowadzono możliwość nie naliczania kwoty zmniejszenia podatku dla pracownika</t>
  </si>
  <si>
    <t>(opis wyżej w dokumentacji) oraz skorygowano zdrowotne przy zasiłku ZUS właściciela.</t>
  </si>
  <si>
    <t>Czy jest to pierwsze miejsce pracy lub czy nie jest emerytem? (32,9 lub 0)</t>
  </si>
  <si>
    <t>Skorygowano także podstawę do opodatkowania w module WŁAŚCICIEL, zaokrąglając ją</t>
  </si>
  <si>
    <t>do pełnych złotych (tak jak wymaga tego deklaracja PIT-5).</t>
  </si>
  <si>
    <t>lic. 112</t>
  </si>
  <si>
    <t>ver. 2.27 skorygowano wyliczanie kwoty zł. za chorobę. Było dzielenie do chorobowego przez ilosc</t>
  </si>
  <si>
    <t>dni w danym miesiącu, poprawiono na dzielenie zawsze przez 30 DNI.</t>
  </si>
  <si>
    <t>Dotyczy PRACOWNIKA</t>
  </si>
  <si>
    <t>Wprowadzono także mozliwosc dowolnego wpisania KUP dla PRACOWNIKA co pozwala rozliczac</t>
  </si>
  <si>
    <t>osoby niepelnoetatowe i dojezdzajace z innej miejscowosci</t>
  </si>
  <si>
    <t>ver. 3.00 Wyliczanie podatku dochodowego na ROK  2000.</t>
  </si>
  <si>
    <t>WYLICZANIE  ZALICZKI  NA  PODATEK  DOCHODOWY  WŁAŚCICIELA  ZA  ROK  2000</t>
  </si>
  <si>
    <t>WYLICZANIE  ZALICZKI  NA  PODATEK  DOCHODOWY  PRACOWNIKA  ZA  ROK  2000</t>
  </si>
  <si>
    <t>19%-436,20</t>
  </si>
  <si>
    <t>5783,64+30%</t>
  </si>
  <si>
    <t>15604,44+40%</t>
  </si>
  <si>
    <t>ver. 3.00</t>
  </si>
  <si>
    <t>DEMO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</si>
</sst>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0.00;[Red]0.00"/>
    <numFmt numFmtId="166" formatCode="#.##"/>
    <numFmt numFmtId="167" formatCode="0.0000"/>
  </numFmts>
  <fonts count="2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b/>
      <sz val="9"/>
      <color indexed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16"/>
      <name val="Arial CE"/>
      <family val="2"/>
    </font>
    <font>
      <b/>
      <sz val="10"/>
      <color indexed="12"/>
      <name val="Arial CE"/>
      <family val="2"/>
    </font>
    <font>
      <b/>
      <sz val="8"/>
      <color indexed="8"/>
      <name val="Arial CE"/>
      <family val="2"/>
    </font>
    <font>
      <sz val="10"/>
      <color indexed="23"/>
      <name val="Arial CE"/>
      <family val="2"/>
    </font>
    <font>
      <sz val="8"/>
      <color indexed="23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0" fontId="2" fillId="0" borderId="3" xfId="0" applyNumberFormat="1" applyFont="1" applyBorder="1" applyAlignment="1">
      <alignment horizontal="left"/>
    </xf>
    <xf numFmtId="9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0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4" xfId="0" applyBorder="1" applyAlignment="1">
      <alignment/>
    </xf>
    <xf numFmtId="166" fontId="0" fillId="2" borderId="0" xfId="0" applyNumberFormat="1" applyFill="1" applyAlignment="1">
      <alignment/>
    </xf>
    <xf numFmtId="2" fontId="0" fillId="0" borderId="6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3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2" borderId="1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19" xfId="0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8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2" fontId="0" fillId="2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4" fillId="0" borderId="0" xfId="0" applyFont="1" applyAlignment="1">
      <alignment/>
    </xf>
    <xf numFmtId="2" fontId="0" fillId="4" borderId="8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3" fillId="0" borderId="0" xfId="0" applyFont="1" applyAlignment="1">
      <alignment/>
    </xf>
    <xf numFmtId="165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/>
      <protection locked="0"/>
    </xf>
    <xf numFmtId="2" fontId="10" fillId="3" borderId="1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alignment horizontal="right"/>
      <protection hidden="1"/>
    </xf>
    <xf numFmtId="2" fontId="0" fillId="0" borderId="16" xfId="0" applyNumberFormat="1" applyBorder="1" applyAlignment="1" applyProtection="1">
      <alignment horizontal="right"/>
      <protection hidden="1"/>
    </xf>
    <xf numFmtId="2" fontId="0" fillId="0" borderId="20" xfId="0" applyNumberFormat="1" applyBorder="1" applyAlignment="1" applyProtection="1">
      <alignment horizontal="right"/>
      <protection hidden="1"/>
    </xf>
    <xf numFmtId="2" fontId="0" fillId="0" borderId="21" xfId="0" applyNumberForma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2" fontId="1" fillId="0" borderId="21" xfId="0" applyNumberFormat="1" applyFont="1" applyBorder="1" applyAlignment="1" applyProtection="1">
      <alignment horizontal="right"/>
      <protection hidden="1"/>
    </xf>
    <xf numFmtId="2" fontId="0" fillId="0" borderId="6" xfId="0" applyNumberFormat="1" applyBorder="1" applyAlignment="1" applyProtection="1">
      <alignment horizontal="right"/>
      <protection hidden="1"/>
    </xf>
    <xf numFmtId="165" fontId="0" fillId="0" borderId="6" xfId="0" applyNumberFormat="1" applyBorder="1" applyAlignment="1" applyProtection="1">
      <alignment horizontal="right"/>
      <protection hidden="1"/>
    </xf>
    <xf numFmtId="165" fontId="1" fillId="0" borderId="22" xfId="0" applyNumberFormat="1" applyFont="1" applyBorder="1" applyAlignment="1" applyProtection="1">
      <alignment horizontal="right"/>
      <protection hidden="1"/>
    </xf>
    <xf numFmtId="166" fontId="0" fillId="2" borderId="0" xfId="0" applyNumberFormat="1" applyFill="1" applyBorder="1" applyAlignment="1" applyProtection="1">
      <alignment/>
      <protection hidden="1"/>
    </xf>
    <xf numFmtId="0" fontId="12" fillId="2" borderId="4" xfId="0" applyFont="1" applyFill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164" fontId="12" fillId="2" borderId="4" xfId="0" applyNumberFormat="1" applyFont="1" applyFill="1" applyBorder="1" applyAlignment="1" applyProtection="1">
      <alignment/>
      <protection hidden="1"/>
    </xf>
    <xf numFmtId="2" fontId="0" fillId="3" borderId="23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1" fillId="0" borderId="6" xfId="0" applyNumberFormat="1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/>
      <protection hidden="1"/>
    </xf>
    <xf numFmtId="2" fontId="0" fillId="0" borderId="18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2" fontId="1" fillId="0" borderId="18" xfId="0" applyNumberFormat="1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2" fontId="1" fillId="0" borderId="3" xfId="0" applyNumberFormat="1" applyFont="1" applyBorder="1" applyAlignment="1" applyProtection="1">
      <alignment horizontal="right"/>
      <protection hidden="1"/>
    </xf>
    <xf numFmtId="2" fontId="1" fillId="0" borderId="18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1" fillId="0" borderId="3" xfId="0" applyNumberFormat="1" applyFont="1" applyBorder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locked="0"/>
    </xf>
    <xf numFmtId="2" fontId="0" fillId="2" borderId="2" xfId="0" applyNumberFormat="1" applyFill="1" applyBorder="1" applyAlignment="1" applyProtection="1">
      <alignment/>
      <protection hidden="1"/>
    </xf>
    <xf numFmtId="1" fontId="15" fillId="2" borderId="0" xfId="0" applyNumberFormat="1" applyFont="1" applyFill="1" applyAlignment="1" applyProtection="1">
      <alignment/>
      <protection hidden="1"/>
    </xf>
    <xf numFmtId="0" fontId="1" fillId="0" borderId="9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hidden="1"/>
    </xf>
    <xf numFmtId="2" fontId="10" fillId="2" borderId="2" xfId="0" applyNumberFormat="1" applyFont="1" applyFill="1" applyBorder="1" applyAlignment="1" applyProtection="1">
      <alignment/>
      <protection hidden="1"/>
    </xf>
    <xf numFmtId="2" fontId="10" fillId="2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2" fontId="17" fillId="2" borderId="0" xfId="0" applyNumberFormat="1" applyFont="1" applyFill="1" applyAlignment="1" applyProtection="1">
      <alignment/>
      <protection hidden="1"/>
    </xf>
    <xf numFmtId="2" fontId="17" fillId="2" borderId="2" xfId="0" applyNumberFormat="1" applyFont="1" applyFill="1" applyBorder="1" applyAlignment="1" applyProtection="1">
      <alignment/>
      <protection hidden="1"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2" fontId="0" fillId="3" borderId="6" xfId="0" applyNumberFormat="1" applyFill="1" applyBorder="1" applyAlignment="1" applyProtection="1">
      <alignment/>
      <protection locked="0"/>
    </xf>
    <xf numFmtId="2" fontId="0" fillId="3" borderId="7" xfId="0" applyNumberFormat="1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2" fontId="0" fillId="2" borderId="7" xfId="0" applyNumberFormat="1" applyFill="1" applyBorder="1" applyAlignment="1" applyProtection="1">
      <alignment/>
      <protection hidden="1"/>
    </xf>
    <xf numFmtId="2" fontId="15" fillId="2" borderId="24" xfId="0" applyNumberFormat="1" applyFont="1" applyFill="1" applyBorder="1" applyAlignment="1" applyProtection="1">
      <alignment/>
      <protection hidden="1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2" fontId="15" fillId="2" borderId="7" xfId="0" applyNumberFormat="1" applyFont="1" applyFill="1" applyBorder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2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2" fontId="0" fillId="3" borderId="0" xfId="0" applyNumberFormat="1" applyFill="1" applyBorder="1" applyAlignment="1" applyProtection="1">
      <alignment/>
      <protection hidden="1"/>
    </xf>
    <xf numFmtId="2" fontId="17" fillId="3" borderId="0" xfId="0" applyNumberFormat="1" applyFont="1" applyFill="1" applyBorder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2" fontId="15" fillId="2" borderId="23" xfId="0" applyNumberFormat="1" applyFont="1" applyFill="1" applyBorder="1" applyAlignment="1" applyProtection="1">
      <alignment/>
      <protection hidden="1"/>
    </xf>
    <xf numFmtId="2" fontId="0" fillId="2" borderId="21" xfId="0" applyNumberFormat="1" applyFill="1" applyBorder="1" applyAlignment="1">
      <alignment/>
    </xf>
    <xf numFmtId="2" fontId="10" fillId="2" borderId="18" xfId="0" applyNumberFormat="1" applyFont="1" applyFill="1" applyBorder="1" applyAlignment="1" applyProtection="1">
      <alignment/>
      <protection hidden="1"/>
    </xf>
    <xf numFmtId="2" fontId="17" fillId="2" borderId="21" xfId="0" applyNumberFormat="1" applyFon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2" fontId="1" fillId="2" borderId="3" xfId="0" applyNumberFormat="1" applyFon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3" borderId="18" xfId="0" applyNumberFormat="1" applyFill="1" applyBorder="1" applyAlignment="1" applyProtection="1">
      <alignment horizontal="left"/>
      <protection locked="0"/>
    </xf>
    <xf numFmtId="2" fontId="17" fillId="3" borderId="0" xfId="0" applyNumberFormat="1" applyFont="1" applyFill="1" applyBorder="1" applyAlignment="1">
      <alignment/>
    </xf>
    <xf numFmtId="2" fontId="10" fillId="3" borderId="0" xfId="0" applyNumberFormat="1" applyFont="1" applyFill="1" applyBorder="1" applyAlignment="1" applyProtection="1">
      <alignment/>
      <protection hidden="1"/>
    </xf>
    <xf numFmtId="2" fontId="15" fillId="3" borderId="0" xfId="0" applyNumberFormat="1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2" fontId="15" fillId="2" borderId="0" xfId="0" applyNumberFormat="1" applyFont="1" applyFill="1" applyAlignment="1">
      <alignment/>
    </xf>
    <xf numFmtId="2" fontId="15" fillId="2" borderId="2" xfId="0" applyNumberFormat="1" applyFont="1" applyFill="1" applyBorder="1" applyAlignment="1">
      <alignment/>
    </xf>
    <xf numFmtId="2" fontId="10" fillId="2" borderId="21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 applyProtection="1">
      <alignment horizontal="left"/>
      <protection hidden="1"/>
    </xf>
    <xf numFmtId="0" fontId="0" fillId="2" borderId="21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2" fontId="0" fillId="2" borderId="3" xfId="0" applyNumberFormat="1" applyFill="1" applyBorder="1" applyAlignment="1" applyProtection="1">
      <alignment/>
      <protection hidden="1"/>
    </xf>
    <xf numFmtId="2" fontId="10" fillId="2" borderId="16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0" fillId="0" borderId="25" xfId="0" applyBorder="1" applyAlignment="1">
      <alignment/>
    </xf>
    <xf numFmtId="165" fontId="0" fillId="3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2" fontId="1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2" fontId="0" fillId="0" borderId="2" xfId="0" applyNumberFormat="1" applyBorder="1" applyAlignment="1" applyProtection="1">
      <alignment horizontal="right"/>
      <protection hidden="1"/>
    </xf>
    <xf numFmtId="2" fontId="0" fillId="0" borderId="18" xfId="0" applyNumberFormat="1" applyFont="1" applyBorder="1" applyAlignment="1">
      <alignment horizontal="right"/>
    </xf>
    <xf numFmtId="2" fontId="0" fillId="0" borderId="3" xfId="0" applyNumberFormat="1" applyBorder="1" applyAlignment="1" applyProtection="1">
      <alignment horizontal="right"/>
      <protection hidden="1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165" fontId="0" fillId="0" borderId="3" xfId="0" applyNumberFormat="1" applyBorder="1" applyAlignment="1" applyProtection="1">
      <alignment horizontal="right"/>
      <protection hidden="1"/>
    </xf>
    <xf numFmtId="0" fontId="0" fillId="0" borderId="2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2" fontId="1" fillId="0" borderId="22" xfId="0" applyNumberFormat="1" applyFont="1" applyBorder="1" applyAlignment="1" applyProtection="1">
      <alignment horizontal="right"/>
      <protection hidden="1"/>
    </xf>
    <xf numFmtId="2" fontId="1" fillId="0" borderId="22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0" fontId="2" fillId="0" borderId="15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1" fontId="1" fillId="4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" fontId="17" fillId="2" borderId="2" xfId="0" applyNumberFormat="1" applyFont="1" applyFill="1" applyBorder="1" applyAlignment="1" applyProtection="1">
      <alignment/>
      <protection hidden="1"/>
    </xf>
    <xf numFmtId="0" fontId="19" fillId="5" borderId="28" xfId="0" applyNumberFormat="1" applyFont="1" applyFill="1" applyBorder="1" applyAlignment="1" applyProtection="1">
      <alignment horizontal="right"/>
      <protection locked="0"/>
    </xf>
    <xf numFmtId="0" fontId="19" fillId="5" borderId="8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2" fontId="0" fillId="3" borderId="0" xfId="0" applyNumberFormat="1" applyFill="1" applyAlignment="1" applyProtection="1">
      <alignment/>
      <protection hidden="1"/>
    </xf>
    <xf numFmtId="2" fontId="0" fillId="3" borderId="7" xfId="0" applyNumberFormat="1" applyFill="1" applyBorder="1" applyAlignment="1" applyProtection="1">
      <alignment/>
      <protection hidden="1"/>
    </xf>
    <xf numFmtId="2" fontId="15" fillId="2" borderId="0" xfId="0" applyNumberFormat="1" applyFont="1" applyFill="1" applyAlignment="1" applyProtection="1">
      <alignment/>
      <protection hidden="1"/>
    </xf>
    <xf numFmtId="2" fontId="15" fillId="2" borderId="2" xfId="0" applyNumberFormat="1" applyFont="1" applyFill="1" applyBorder="1" applyAlignment="1" applyProtection="1">
      <alignment/>
      <protection hidden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J49"/>
  <sheetViews>
    <sheetView showGridLines="0" showRowColHeaders="0"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6" max="6" width="8.00390625" style="0" customWidth="1"/>
    <col min="7" max="7" width="8.375" style="0" customWidth="1"/>
    <col min="9" max="9" width="4.125" style="0" customWidth="1"/>
  </cols>
  <sheetData>
    <row r="2" spans="2:10" ht="12.75">
      <c r="B2" s="11" t="s">
        <v>0</v>
      </c>
      <c r="C2" s="11"/>
      <c r="D2" s="238" t="s">
        <v>307</v>
      </c>
      <c r="E2" s="238"/>
      <c r="F2" s="238"/>
      <c r="G2" s="25"/>
      <c r="H2" s="25"/>
      <c r="I2" s="25"/>
      <c r="J2" s="9" t="s">
        <v>1</v>
      </c>
    </row>
    <row r="3" spans="2:10" ht="12.75">
      <c r="B3" s="17"/>
      <c r="C3" s="17"/>
      <c r="D3" s="21"/>
      <c r="E3" s="21"/>
      <c r="F3" s="21"/>
      <c r="G3" s="65"/>
      <c r="H3" s="65"/>
      <c r="I3" s="65"/>
      <c r="J3" s="9" t="s">
        <v>2</v>
      </c>
    </row>
    <row r="4" spans="2:10" ht="12.75">
      <c r="B4" s="17" t="s">
        <v>3</v>
      </c>
      <c r="C4" s="239"/>
      <c r="D4" s="239"/>
      <c r="E4" s="239"/>
      <c r="F4" s="19"/>
      <c r="G4" s="10"/>
      <c r="H4" s="10"/>
      <c r="I4" s="10"/>
      <c r="J4" s="10"/>
    </row>
    <row r="5" spans="2:10" ht="12.75">
      <c r="B5" s="17"/>
      <c r="C5" s="17"/>
      <c r="D5" s="15"/>
      <c r="E5" s="15"/>
      <c r="F5" s="15"/>
      <c r="G5" s="10"/>
      <c r="H5" s="10"/>
      <c r="I5" s="10"/>
      <c r="J5" s="10"/>
    </row>
    <row r="6" spans="2:10" ht="13.5" thickBot="1">
      <c r="B6" s="20" t="s">
        <v>4</v>
      </c>
      <c r="C6" s="20"/>
      <c r="D6" s="20"/>
      <c r="E6" s="15"/>
      <c r="F6" s="15"/>
      <c r="G6" s="18"/>
      <c r="H6" s="18"/>
      <c r="I6" s="18"/>
      <c r="J6" s="18"/>
    </row>
    <row r="7" spans="1:10" ht="13.5" thickTop="1">
      <c r="A7" s="13"/>
      <c r="B7" s="45"/>
      <c r="C7" s="17"/>
      <c r="D7" s="15"/>
      <c r="E7" s="15"/>
      <c r="F7" s="15"/>
      <c r="G7" s="16"/>
      <c r="H7" s="16"/>
      <c r="I7" s="16"/>
      <c r="J7" s="16"/>
    </row>
    <row r="8" spans="1:10" ht="12.75">
      <c r="A8" s="13"/>
      <c r="B8" s="230" t="s">
        <v>33</v>
      </c>
      <c r="C8" s="240"/>
      <c r="D8" s="240"/>
      <c r="E8" s="231"/>
      <c r="F8" s="85">
        <v>97</v>
      </c>
      <c r="G8" s="21"/>
      <c r="H8" s="22" t="s">
        <v>6</v>
      </c>
      <c r="I8" s="23"/>
      <c r="J8" s="86">
        <v>30</v>
      </c>
    </row>
    <row r="9" spans="1:10" ht="12.75">
      <c r="A9" s="13"/>
      <c r="B9" s="230" t="s">
        <v>32</v>
      </c>
      <c r="C9" s="230"/>
      <c r="D9" s="230"/>
      <c r="E9" s="231"/>
      <c r="F9" s="85" t="s">
        <v>34</v>
      </c>
      <c r="G9" s="21"/>
      <c r="H9" s="22"/>
      <c r="I9" s="36"/>
      <c r="J9" s="24"/>
    </row>
    <row r="10" spans="1:10" ht="12.75">
      <c r="A10" s="13"/>
      <c r="B10" s="230" t="s">
        <v>35</v>
      </c>
      <c r="C10" s="230"/>
      <c r="D10" s="230"/>
      <c r="E10" s="231"/>
      <c r="F10" s="85" t="s">
        <v>29</v>
      </c>
      <c r="G10" s="63" t="s">
        <v>100</v>
      </c>
      <c r="H10" s="67"/>
      <c r="I10" s="68"/>
      <c r="J10" s="189"/>
    </row>
    <row r="11" spans="1:10" ht="12.75">
      <c r="A11" s="13"/>
      <c r="B11" s="230" t="s">
        <v>31</v>
      </c>
      <c r="C11" s="240"/>
      <c r="D11" s="240"/>
      <c r="E11" s="240"/>
      <c r="F11" s="85" t="s">
        <v>29</v>
      </c>
      <c r="G11" s="21"/>
      <c r="H11" s="22"/>
      <c r="I11" s="36"/>
      <c r="J11" s="24"/>
    </row>
    <row r="12" spans="1:10" ht="12.75">
      <c r="A12" s="13"/>
      <c r="B12" s="21"/>
      <c r="C12" s="21"/>
      <c r="D12" s="21"/>
      <c r="E12" s="21"/>
      <c r="F12" s="37"/>
      <c r="G12" s="21"/>
      <c r="H12" s="22"/>
      <c r="I12" s="36"/>
      <c r="J12" s="24"/>
    </row>
    <row r="13" spans="1:10" ht="13.5" thickBot="1">
      <c r="A13" s="13"/>
      <c r="B13" s="98" t="str">
        <f>IF((F10="nie"),IF((J10&gt;0),"BLĄD 1"," "),IF((J10&gt;0)," ","BLĄD ile"))</f>
        <v> </v>
      </c>
      <c r="C13" s="98" t="str">
        <f>IF(J8&lt;32,IF(J8&lt;28,"BŁĄD m-c"," "),"BŁĄD m-c")</f>
        <v> </v>
      </c>
      <c r="D13" s="98" t="str">
        <f>IF(H16&gt;J8,"BŁĄD dni"," ")</f>
        <v> </v>
      </c>
      <c r="E13" s="98" t="str">
        <f>IF(F9="nie"," ",IF(F9="tak"," ","BLĄD nie"))</f>
        <v> </v>
      </c>
      <c r="F13" s="99" t="str">
        <f>IF(F10="nie"," ",IF(F10="tak"," ","BLĄD nie"))</f>
        <v> </v>
      </c>
      <c r="G13" s="99" t="str">
        <f>IF(F11="nie"," ",IF(F11="tak"," ","BLĄD nie"))</f>
        <v> </v>
      </c>
      <c r="H13" s="100" t="str">
        <f>IF(F15&gt;0,IF(J15&lt;30,"BLĄD zas"," ")," ")</f>
        <v> </v>
      </c>
      <c r="I13" s="100"/>
      <c r="J13" s="101" t="str">
        <f>IF(F8&gt;0,IF(F10="tak","BŁĄD sta"," ")," ")</f>
        <v> </v>
      </c>
    </row>
    <row r="14" spans="1:10" ht="13.5" thickTop="1">
      <c r="A14" s="13"/>
      <c r="B14" s="52"/>
      <c r="C14" s="52"/>
      <c r="D14" s="52"/>
      <c r="E14" s="53"/>
      <c r="F14" s="52"/>
      <c r="G14" s="54"/>
      <c r="H14" s="36"/>
      <c r="I14" s="36"/>
      <c r="J14" s="24"/>
    </row>
    <row r="15" spans="1:10" ht="12.75">
      <c r="A15" s="13"/>
      <c r="B15" s="236" t="s">
        <v>72</v>
      </c>
      <c r="C15" s="236"/>
      <c r="D15" s="236"/>
      <c r="E15" s="237"/>
      <c r="F15" s="87"/>
      <c r="G15" s="63" t="s">
        <v>73</v>
      </c>
      <c r="H15" s="64"/>
      <c r="I15" s="64"/>
      <c r="J15" s="86"/>
    </row>
    <row r="16" spans="1:10" ht="12.75">
      <c r="A16" s="47"/>
      <c r="B16" s="230" t="s">
        <v>70</v>
      </c>
      <c r="C16" s="230"/>
      <c r="D16" s="230"/>
      <c r="E16" s="230"/>
      <c r="F16" s="230"/>
      <c r="G16" s="231"/>
      <c r="H16" s="86"/>
      <c r="I16" s="51" t="s">
        <v>71</v>
      </c>
      <c r="J16" s="97">
        <f>IF(J15&gt;0,(F15/J15)*H16,0)</f>
        <v>0</v>
      </c>
    </row>
    <row r="17" spans="1:10" ht="12.75">
      <c r="A17" s="13"/>
      <c r="B17" s="21"/>
      <c r="C17" s="21"/>
      <c r="D17" s="21"/>
      <c r="E17" s="21"/>
      <c r="F17" s="21"/>
      <c r="G17" s="21"/>
      <c r="H17" s="24"/>
      <c r="I17" s="21"/>
      <c r="J17" s="21"/>
    </row>
    <row r="18" spans="1:8" ht="12.75">
      <c r="A18" s="13"/>
      <c r="H18" s="13"/>
    </row>
    <row r="19" spans="1:8" ht="12.75">
      <c r="A19" s="13"/>
      <c r="H19" s="13"/>
    </row>
    <row r="20" spans="1:10" ht="13.5" thickBot="1">
      <c r="A20" s="48"/>
      <c r="B20" s="7" t="s">
        <v>10</v>
      </c>
      <c r="C20" s="7"/>
      <c r="D20" s="7"/>
      <c r="E20" s="7"/>
      <c r="F20" s="26"/>
      <c r="G20" s="26"/>
      <c r="H20" s="26"/>
      <c r="I20" s="13"/>
      <c r="J20" s="13"/>
    </row>
    <row r="21" spans="1:8" ht="13.5" thickTop="1">
      <c r="A21" s="3"/>
      <c r="B21" s="8"/>
      <c r="C21" s="8"/>
      <c r="D21" s="8"/>
      <c r="H21" s="44"/>
    </row>
    <row r="22" spans="1:8" ht="12.75">
      <c r="A22" s="3"/>
      <c r="B22" s="228" t="s">
        <v>74</v>
      </c>
      <c r="C22" s="229"/>
      <c r="D22" s="8"/>
      <c r="H22" s="88">
        <f>IF(J10&gt;0,((J10/J8)*(J8-H16)),((F8/J8)*(J8-H16))*0.6)</f>
        <v>58.199999999999996</v>
      </c>
    </row>
    <row r="23" spans="1:8" ht="13.5" thickBot="1">
      <c r="A23" s="3"/>
      <c r="C23" s="8" t="s">
        <v>13</v>
      </c>
      <c r="D23" s="8"/>
      <c r="E23" s="8"/>
      <c r="F23" s="8"/>
      <c r="H23" s="29">
        <f>J16</f>
        <v>0</v>
      </c>
    </row>
    <row r="24" spans="1:8" ht="13.5" thickBot="1">
      <c r="A24" s="3"/>
      <c r="B24" t="s">
        <v>14</v>
      </c>
      <c r="H24" s="30">
        <f>IF(H22&gt;99,99,H22)</f>
        <v>58.199999999999996</v>
      </c>
    </row>
    <row r="25" spans="1:8" ht="12.75">
      <c r="A25" s="3"/>
      <c r="H25" s="69"/>
    </row>
    <row r="26" spans="1:10" ht="12.75">
      <c r="A26" s="3"/>
      <c r="E26" s="13"/>
      <c r="F26" s="13"/>
      <c r="G26" s="31"/>
      <c r="H26" s="66" t="s">
        <v>75</v>
      </c>
      <c r="I26" s="58"/>
      <c r="J26" s="58"/>
    </row>
    <row r="27" spans="1:10" ht="12.75">
      <c r="A27" s="4"/>
      <c r="B27" t="s">
        <v>18</v>
      </c>
      <c r="E27" s="13"/>
      <c r="F27" s="14"/>
      <c r="G27" s="12"/>
      <c r="H27" s="89">
        <f>IF(F11="tak",0,(ROUND(H24*19.52/100,3)))</f>
        <v>11.361</v>
      </c>
      <c r="I27" s="13"/>
      <c r="J27" s="55"/>
    </row>
    <row r="28" spans="1:10" ht="12.75">
      <c r="A28" s="4"/>
      <c r="B28" t="s">
        <v>19</v>
      </c>
      <c r="E28" s="13"/>
      <c r="F28" s="14"/>
      <c r="G28" s="33"/>
      <c r="H28" s="90">
        <f>IF(F11="tak",0,(ROUND(H24*13/100,3)))</f>
        <v>7.566</v>
      </c>
      <c r="I28" s="35"/>
      <c r="J28" s="55"/>
    </row>
    <row r="29" spans="1:10" ht="12.75">
      <c r="A29" s="5"/>
      <c r="B29" t="s">
        <v>20</v>
      </c>
      <c r="E29" s="13"/>
      <c r="F29" s="14"/>
      <c r="G29" s="56"/>
      <c r="H29" s="91">
        <f>IF(F9="tak",(ROUND(H24*2.45/100,3)),0)</f>
        <v>1.426</v>
      </c>
      <c r="I29" s="35"/>
      <c r="J29" s="55"/>
    </row>
    <row r="30" spans="1:10" ht="12.75">
      <c r="A30" s="5"/>
      <c r="B30" t="s">
        <v>21</v>
      </c>
      <c r="E30" s="50"/>
      <c r="F30" s="50"/>
      <c r="G30" s="35"/>
      <c r="H30" s="92">
        <f>ROUND(H24*F47/100,3)</f>
        <v>0.943</v>
      </c>
      <c r="I30" s="35"/>
      <c r="J30" s="55"/>
    </row>
    <row r="31" spans="1:10" ht="12.75">
      <c r="A31" s="6"/>
      <c r="B31" s="233" t="s">
        <v>77</v>
      </c>
      <c r="C31" s="234"/>
      <c r="D31" s="234"/>
      <c r="E31" s="2"/>
      <c r="F31" s="57"/>
      <c r="G31" s="31"/>
      <c r="H31" s="93">
        <f>H27+H28+H29+H30</f>
        <v>21.296</v>
      </c>
      <c r="I31" s="35"/>
      <c r="J31" s="55"/>
    </row>
    <row r="32" spans="1:8" ht="12.75">
      <c r="A32" s="3"/>
      <c r="H32" s="59"/>
    </row>
    <row r="33" spans="1:8" ht="12.75">
      <c r="A33" s="6"/>
      <c r="E33" t="s">
        <v>23</v>
      </c>
      <c r="G33" s="33"/>
      <c r="H33" s="94">
        <f>ROUND(H24*F48/100,3)</f>
        <v>1.426</v>
      </c>
    </row>
    <row r="34" spans="1:8" ht="12.75">
      <c r="A34" s="5"/>
      <c r="E34" t="s">
        <v>24</v>
      </c>
      <c r="G34" s="33"/>
      <c r="H34" s="94">
        <f>ROUND(H24*F49/100,3)</f>
        <v>0.047</v>
      </c>
    </row>
    <row r="35" spans="1:10" ht="12.75">
      <c r="A35" s="3"/>
      <c r="B35" s="233" t="s">
        <v>76</v>
      </c>
      <c r="C35" s="234"/>
      <c r="D35" s="234"/>
      <c r="E35" s="234"/>
      <c r="F35" s="235"/>
      <c r="G35" s="31"/>
      <c r="H35" s="93">
        <f>H31+H33+H34</f>
        <v>22.769</v>
      </c>
      <c r="I35" s="35"/>
      <c r="J35" s="14"/>
    </row>
    <row r="36" spans="1:10" ht="12.75">
      <c r="A36" s="3"/>
      <c r="B36" s="13"/>
      <c r="C36" s="13"/>
      <c r="D36" s="13"/>
      <c r="E36" s="13"/>
      <c r="F36" s="13"/>
      <c r="G36" s="14"/>
      <c r="H36" s="28"/>
      <c r="I36" s="14"/>
      <c r="J36" s="14"/>
    </row>
    <row r="37" spans="1:8" ht="12.75">
      <c r="A37" s="3"/>
      <c r="H37" s="3"/>
    </row>
    <row r="38" spans="1:8" ht="13.5" thickBot="1">
      <c r="A38" s="5"/>
      <c r="B38" s="7" t="s">
        <v>26</v>
      </c>
      <c r="C38" s="7"/>
      <c r="D38" s="7"/>
      <c r="E38" s="7"/>
      <c r="H38" s="3"/>
    </row>
    <row r="39" spans="1:8" ht="13.5" thickTop="1">
      <c r="A39" s="3"/>
      <c r="H39" s="44"/>
    </row>
    <row r="40" spans="1:8" ht="13.5" thickBot="1">
      <c r="A40" s="3"/>
      <c r="B40" t="s">
        <v>27</v>
      </c>
      <c r="G40" s="33"/>
      <c r="H40" s="95">
        <f>(H24)</f>
        <v>58.199999999999996</v>
      </c>
    </row>
    <row r="41" spans="1:8" ht="13.5" thickBot="1">
      <c r="A41" s="3"/>
      <c r="B41" s="35" t="s">
        <v>28</v>
      </c>
      <c r="C41" s="13"/>
      <c r="D41" s="13"/>
      <c r="E41" s="13"/>
      <c r="F41" s="13"/>
      <c r="G41" s="34"/>
      <c r="H41" s="96">
        <f>ROUND(H40*7.5/100,3)</f>
        <v>4.365</v>
      </c>
    </row>
    <row r="42" spans="2:8" ht="12.75">
      <c r="B42" s="31" t="s">
        <v>282</v>
      </c>
      <c r="C42" s="204"/>
      <c r="D42" s="204"/>
      <c r="E42" s="204"/>
      <c r="F42" s="204"/>
      <c r="G42" s="12"/>
      <c r="H42" s="44">
        <f>ROUND(H41*0.1/100,2)</f>
        <v>0</v>
      </c>
    </row>
    <row r="44" spans="2:8" ht="12.75">
      <c r="B44" s="232" t="s">
        <v>78</v>
      </c>
      <c r="C44" s="232"/>
      <c r="D44" s="232"/>
      <c r="E44" s="232"/>
      <c r="F44" s="232"/>
      <c r="G44" s="232"/>
      <c r="H44" s="232"/>
    </row>
    <row r="45" spans="2:8" ht="12.75">
      <c r="B45" s="232" t="s">
        <v>79</v>
      </c>
      <c r="C45" s="232"/>
      <c r="D45" s="232"/>
      <c r="E45" s="232"/>
      <c r="F45" s="232"/>
      <c r="G45" s="232"/>
      <c r="H45" s="232"/>
    </row>
    <row r="46" spans="2:10" ht="12.75">
      <c r="B46" s="188"/>
      <c r="C46" s="188"/>
      <c r="D46" s="188"/>
      <c r="E46" s="188"/>
      <c r="F46" s="188"/>
      <c r="G46" s="188"/>
      <c r="H46" s="188"/>
      <c r="I46" s="188"/>
      <c r="J46" s="188"/>
    </row>
    <row r="47" spans="2:10" ht="12.75">
      <c r="B47" s="187" t="s">
        <v>251</v>
      </c>
      <c r="C47" s="185"/>
      <c r="D47" s="185"/>
      <c r="E47" s="185"/>
      <c r="F47" s="186">
        <v>1.62</v>
      </c>
      <c r="G47" s="185"/>
      <c r="H47" s="187" t="s">
        <v>254</v>
      </c>
      <c r="I47" s="185"/>
      <c r="J47" s="185"/>
    </row>
    <row r="48" spans="2:10" ht="12.75">
      <c r="B48" s="187" t="s">
        <v>252</v>
      </c>
      <c r="C48" s="185"/>
      <c r="D48" s="185"/>
      <c r="E48" s="185"/>
      <c r="F48" s="186">
        <v>2.45</v>
      </c>
      <c r="G48" s="185"/>
      <c r="H48" s="187" t="s">
        <v>255</v>
      </c>
      <c r="I48" s="185"/>
      <c r="J48" s="185"/>
    </row>
    <row r="49" spans="2:10" ht="12.75">
      <c r="B49" s="187" t="s">
        <v>257</v>
      </c>
      <c r="C49" s="185"/>
      <c r="D49" s="185"/>
      <c r="E49" s="185"/>
      <c r="F49" s="186">
        <v>0.08</v>
      </c>
      <c r="G49" s="185"/>
      <c r="H49" s="187" t="s">
        <v>256</v>
      </c>
      <c r="I49" s="185"/>
      <c r="J49" s="185"/>
    </row>
  </sheetData>
  <sheetProtection password="C8B7" sheet="1" objects="1" scenarios="1"/>
  <mergeCells count="13">
    <mergeCell ref="B15:E15"/>
    <mergeCell ref="D2:F2"/>
    <mergeCell ref="C4:E4"/>
    <mergeCell ref="B11:E11"/>
    <mergeCell ref="B8:E8"/>
    <mergeCell ref="B9:E9"/>
    <mergeCell ref="B10:E10"/>
    <mergeCell ref="B22:C22"/>
    <mergeCell ref="B16:G16"/>
    <mergeCell ref="B44:H44"/>
    <mergeCell ref="B45:H45"/>
    <mergeCell ref="B35:F35"/>
    <mergeCell ref="B31:D31"/>
  </mergeCells>
  <printOptions/>
  <pageMargins left="0.7874015748031497" right="0.7874015748031497" top="0.984251968503937" bottom="0.984251968503937" header="0.5118110236220472" footer="0.5118110236220472"/>
  <pageSetup blackAndWhite="1"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showGridLines="0" showRowColHeaders="0" workbookViewId="0" topLeftCell="B1">
      <selection activeCell="M9" sqref="M9"/>
    </sheetView>
  </sheetViews>
  <sheetFormatPr defaultColWidth="9.00390625" defaultRowHeight="12.75"/>
  <cols>
    <col min="1" max="1" width="4.375" style="0" hidden="1" customWidth="1"/>
    <col min="6" max="6" width="8.00390625" style="0" customWidth="1"/>
    <col min="7" max="7" width="8.375" style="0" customWidth="1"/>
    <col min="9" max="9" width="4.125" style="0" customWidth="1"/>
  </cols>
  <sheetData>
    <row r="2" spans="2:10" ht="12.75">
      <c r="B2" s="11" t="s">
        <v>270</v>
      </c>
      <c r="C2" s="11"/>
      <c r="D2" s="190"/>
      <c r="E2" s="190"/>
      <c r="F2" s="190"/>
      <c r="G2" s="25"/>
      <c r="H2" s="25"/>
      <c r="I2" s="25"/>
      <c r="J2" s="9" t="s">
        <v>1</v>
      </c>
    </row>
    <row r="3" spans="2:10" ht="12.75">
      <c r="B3" s="17"/>
      <c r="C3" s="17"/>
      <c r="D3" s="21"/>
      <c r="E3" s="21"/>
      <c r="F3" s="21"/>
      <c r="G3" s="65"/>
      <c r="H3" s="65"/>
      <c r="I3" s="65"/>
      <c r="J3" s="9" t="s">
        <v>2</v>
      </c>
    </row>
    <row r="4" spans="2:10" ht="12.75">
      <c r="B4" s="17" t="s">
        <v>3</v>
      </c>
      <c r="C4" s="239"/>
      <c r="D4" s="239"/>
      <c r="E4" s="239"/>
      <c r="F4" s="19"/>
      <c r="G4" s="10"/>
      <c r="H4" s="10"/>
      <c r="I4" s="10"/>
      <c r="J4" s="10"/>
    </row>
    <row r="5" spans="2:10" ht="12.75">
      <c r="B5" s="17"/>
      <c r="C5" s="17"/>
      <c r="D5" s="15"/>
      <c r="E5" s="15"/>
      <c r="F5" s="15"/>
      <c r="G5" s="10"/>
      <c r="H5" s="10"/>
      <c r="I5" s="10"/>
      <c r="J5" s="10"/>
    </row>
    <row r="6" spans="2:10" ht="13.5" thickBot="1">
      <c r="B6" s="20" t="s">
        <v>4</v>
      </c>
      <c r="C6" s="20"/>
      <c r="D6" s="20"/>
      <c r="E6" s="15"/>
      <c r="F6" s="15"/>
      <c r="G6" s="18"/>
      <c r="H6" s="18"/>
      <c r="I6" s="18"/>
      <c r="J6" s="18"/>
    </row>
    <row r="7" spans="1:10" ht="13.5" thickTop="1">
      <c r="A7" s="13"/>
      <c r="B7" s="45"/>
      <c r="C7" s="17"/>
      <c r="D7" s="15"/>
      <c r="E7" s="15"/>
      <c r="F7" s="15"/>
      <c r="G7" s="16"/>
      <c r="H7" s="16"/>
      <c r="I7" s="16"/>
      <c r="J7" s="16"/>
    </row>
    <row r="8" spans="1:10" ht="12.75">
      <c r="A8" s="13"/>
      <c r="B8" s="230" t="s">
        <v>33</v>
      </c>
      <c r="C8" s="240"/>
      <c r="D8" s="240"/>
      <c r="E8" s="231"/>
      <c r="F8" s="85">
        <v>98</v>
      </c>
      <c r="G8" s="21"/>
      <c r="H8" s="22" t="s">
        <v>6</v>
      </c>
      <c r="I8" s="23"/>
      <c r="J8" s="86">
        <v>30</v>
      </c>
    </row>
    <row r="9" spans="1:10" ht="12.75">
      <c r="A9" s="13"/>
      <c r="B9" s="230" t="s">
        <v>32</v>
      </c>
      <c r="C9" s="230"/>
      <c r="D9" s="230"/>
      <c r="E9" s="231"/>
      <c r="F9" s="85" t="s">
        <v>34</v>
      </c>
      <c r="G9" s="21"/>
      <c r="H9" s="22"/>
      <c r="I9" s="36"/>
      <c r="J9" s="24"/>
    </row>
    <row r="10" spans="1:10" ht="12.75">
      <c r="A10" s="13"/>
      <c r="B10" s="230" t="s">
        <v>35</v>
      </c>
      <c r="C10" s="230"/>
      <c r="D10" s="230"/>
      <c r="E10" s="231"/>
      <c r="F10" s="85" t="s">
        <v>29</v>
      </c>
      <c r="G10" s="63" t="s">
        <v>100</v>
      </c>
      <c r="H10" s="67"/>
      <c r="I10" s="68"/>
      <c r="J10" s="189"/>
    </row>
    <row r="11" spans="1:10" ht="12.75">
      <c r="A11" s="13"/>
      <c r="B11" s="230" t="s">
        <v>31</v>
      </c>
      <c r="C11" s="240"/>
      <c r="D11" s="240"/>
      <c r="E11" s="240"/>
      <c r="F11" s="85" t="s">
        <v>29</v>
      </c>
      <c r="G11" s="21"/>
      <c r="H11" s="22"/>
      <c r="I11" s="36"/>
      <c r="J11" s="24"/>
    </row>
    <row r="12" spans="1:10" ht="12.75">
      <c r="A12" s="13"/>
      <c r="B12" s="21"/>
      <c r="C12" s="21"/>
      <c r="D12" s="21"/>
      <c r="E12" s="21"/>
      <c r="F12" s="37"/>
      <c r="G12" s="21"/>
      <c r="H12" s="22"/>
      <c r="I12" s="36"/>
      <c r="J12" s="24"/>
    </row>
    <row r="13" spans="1:10" ht="13.5" thickBot="1">
      <c r="A13" s="13"/>
      <c r="B13" s="98" t="str">
        <f>IF((F10="nie"),IF((J10&gt;0),"BLĄD 1"," "),IF((J10&gt;0)," ","BLĄD ile"))</f>
        <v> </v>
      </c>
      <c r="C13" s="98" t="str">
        <f>IF(J8&lt;32,IF(J8&lt;28,"BŁĄD m-c"," "),"BŁĄD m-c")</f>
        <v> </v>
      </c>
      <c r="D13" s="98" t="str">
        <f>IF(H16&gt;J8,"BŁĄD dni"," ")</f>
        <v> </v>
      </c>
      <c r="E13" s="98" t="str">
        <f>IF(F9="nie"," ",IF(F9="tak"," ","BLĄD nie"))</f>
        <v> </v>
      </c>
      <c r="F13" s="99" t="str">
        <f>IF(F10="nie"," ",IF(F10="tak"," ","BLĄD nie"))</f>
        <v> </v>
      </c>
      <c r="G13" s="99" t="str">
        <f>IF(F11="nie"," ",IF(F11="tak"," ","BLĄD nie"))</f>
        <v> </v>
      </c>
      <c r="H13" s="100" t="str">
        <f>IF(F15&gt;0,IF(J15&lt;30,"BLĄD zas"," ")," ")</f>
        <v> </v>
      </c>
      <c r="I13" s="100"/>
      <c r="J13" s="101" t="str">
        <f>IF(F8&gt;0,IF(F10="tak","BŁĄD sta"," ")," ")</f>
        <v> </v>
      </c>
    </row>
    <row r="14" spans="1:10" ht="13.5" thickTop="1">
      <c r="A14" s="13"/>
      <c r="B14" s="52"/>
      <c r="C14" s="52"/>
      <c r="D14" s="52"/>
      <c r="E14" s="53"/>
      <c r="F14" s="52"/>
      <c r="G14" s="54"/>
      <c r="H14" s="36"/>
      <c r="I14" s="36"/>
      <c r="J14" s="24"/>
    </row>
    <row r="15" spans="1:10" ht="12.75">
      <c r="A15" s="13"/>
      <c r="B15" s="236" t="s">
        <v>72</v>
      </c>
      <c r="C15" s="236"/>
      <c r="D15" s="236"/>
      <c r="E15" s="237"/>
      <c r="F15" s="87"/>
      <c r="G15" s="63" t="s">
        <v>73</v>
      </c>
      <c r="H15" s="64"/>
      <c r="I15" s="64"/>
      <c r="J15" s="86"/>
    </row>
    <row r="16" spans="1:10" ht="12.75">
      <c r="A16" s="47"/>
      <c r="B16" s="230" t="s">
        <v>70</v>
      </c>
      <c r="C16" s="230"/>
      <c r="D16" s="230"/>
      <c r="E16" s="230"/>
      <c r="F16" s="230"/>
      <c r="G16" s="231"/>
      <c r="H16" s="86"/>
      <c r="I16" s="51" t="s">
        <v>71</v>
      </c>
      <c r="J16" s="97">
        <f>IF(J15&gt;0,(F15/J15)*H16,0)</f>
        <v>0</v>
      </c>
    </row>
    <row r="17" spans="1:10" ht="12.75">
      <c r="A17" s="13"/>
      <c r="B17" s="21"/>
      <c r="C17" s="21"/>
      <c r="D17" s="21"/>
      <c r="E17" s="21"/>
      <c r="F17" s="21"/>
      <c r="G17" s="21"/>
      <c r="H17" s="24"/>
      <c r="I17" s="21"/>
      <c r="J17" s="21"/>
    </row>
    <row r="18" spans="1:8" ht="12.75">
      <c r="A18" s="13"/>
      <c r="H18" s="13"/>
    </row>
    <row r="19" spans="1:8" ht="12.75">
      <c r="A19" s="13"/>
      <c r="H19" s="13"/>
    </row>
    <row r="20" spans="1:11" ht="13.5" thickBot="1">
      <c r="A20" s="48"/>
      <c r="B20" s="7" t="s">
        <v>10</v>
      </c>
      <c r="C20" s="7"/>
      <c r="D20" s="7"/>
      <c r="E20" s="7"/>
      <c r="F20" s="26"/>
      <c r="G20" s="26"/>
      <c r="H20" s="26"/>
      <c r="I20" s="26"/>
      <c r="J20" s="26"/>
      <c r="K20" s="26"/>
    </row>
    <row r="21" spans="1:11" ht="13.5" thickTop="1">
      <c r="A21" s="3"/>
      <c r="B21" s="200"/>
      <c r="C21" s="201"/>
      <c r="D21" s="201"/>
      <c r="E21" s="40"/>
      <c r="F21" s="40"/>
      <c r="H21" s="2"/>
      <c r="I21" s="13"/>
      <c r="K21" s="41"/>
    </row>
    <row r="22" spans="1:11" ht="12.75">
      <c r="A22" s="3"/>
      <c r="B22" s="228" t="s">
        <v>74</v>
      </c>
      <c r="C22" s="241"/>
      <c r="D22" s="192"/>
      <c r="E22" s="13"/>
      <c r="F22" s="13"/>
      <c r="H22" s="88">
        <f>IF(J10&gt;0,((J10/J8)*(J8-H16)),((F8/J8)*(J8-H16))*0.6)</f>
        <v>58.8</v>
      </c>
      <c r="K22" s="3"/>
    </row>
    <row r="23" spans="1:11" ht="13.5" thickBot="1">
      <c r="A23" s="3"/>
      <c r="B23" s="35"/>
      <c r="C23" s="192" t="s">
        <v>13</v>
      </c>
      <c r="D23" s="192"/>
      <c r="E23" s="192"/>
      <c r="F23" s="192"/>
      <c r="H23" s="29">
        <f>J16</f>
        <v>0</v>
      </c>
      <c r="K23" s="3"/>
    </row>
    <row r="24" spans="1:11" ht="13.5" thickBot="1">
      <c r="A24" s="3"/>
      <c r="B24" s="35" t="s">
        <v>14</v>
      </c>
      <c r="C24" s="13"/>
      <c r="D24" s="13"/>
      <c r="E24" s="13"/>
      <c r="F24" s="13"/>
      <c r="H24" s="30">
        <f>IF(H22&gt;99,99,H22)</f>
        <v>58.8</v>
      </c>
      <c r="K24" s="3"/>
    </row>
    <row r="25" spans="1:11" ht="12.75">
      <c r="A25" s="3"/>
      <c r="B25" s="35"/>
      <c r="C25" s="13"/>
      <c r="D25" s="13"/>
      <c r="E25" s="13"/>
      <c r="F25" s="13"/>
      <c r="H25" s="13"/>
      <c r="K25" s="3"/>
    </row>
    <row r="26" spans="1:11" ht="12.75">
      <c r="A26" s="3"/>
      <c r="B26" s="35"/>
      <c r="C26" s="13"/>
      <c r="D26" s="13"/>
      <c r="E26" s="13"/>
      <c r="F26" s="13"/>
      <c r="G26" s="31" t="s">
        <v>276</v>
      </c>
      <c r="H26" s="193"/>
      <c r="I26" s="198" t="s">
        <v>274</v>
      </c>
      <c r="J26" s="197"/>
      <c r="K26" s="66" t="s">
        <v>275</v>
      </c>
    </row>
    <row r="27" spans="1:11" ht="12.75">
      <c r="A27" s="4"/>
      <c r="B27" s="35" t="s">
        <v>18</v>
      </c>
      <c r="C27" s="13"/>
      <c r="D27" s="13"/>
      <c r="E27" s="13"/>
      <c r="F27" s="14"/>
      <c r="G27" s="12"/>
      <c r="H27" s="194">
        <f>IF(F11="tak",0,(ROUND(H24*9.76/100,2)))</f>
        <v>5.74</v>
      </c>
      <c r="I27" s="35"/>
      <c r="J27" s="196">
        <f>IF(F11="tak",0,(ROUND(H24*9.76/100,2)))</f>
        <v>5.74</v>
      </c>
      <c r="K27" s="191">
        <f>ROUND(H27+J27,2)</f>
        <v>11.48</v>
      </c>
    </row>
    <row r="28" spans="1:11" ht="12.75">
      <c r="A28" s="4"/>
      <c r="B28" s="35" t="s">
        <v>19</v>
      </c>
      <c r="C28" s="13"/>
      <c r="D28" s="13"/>
      <c r="E28" s="13"/>
      <c r="F28" s="14"/>
      <c r="G28" s="33"/>
      <c r="H28" s="90">
        <f>IF(F11="tak",0,(ROUND(H24*6.5/100,3)))</f>
        <v>3.822</v>
      </c>
      <c r="I28" s="31"/>
      <c r="J28" s="110">
        <f>IF(F11="tak",0,(ROUND(H24*6.5/100,3)))</f>
        <v>3.822</v>
      </c>
      <c r="K28" s="191">
        <f>ROUND(H28+J28,2)</f>
        <v>7.64</v>
      </c>
    </row>
    <row r="29" spans="1:11" ht="12.75">
      <c r="A29" s="5"/>
      <c r="B29" s="35" t="s">
        <v>20</v>
      </c>
      <c r="C29" s="13"/>
      <c r="D29" s="13"/>
      <c r="E29" s="13"/>
      <c r="F29" s="14"/>
      <c r="G29" s="56"/>
      <c r="H29" s="91">
        <f>IF(F9="tak",(ROUND(H24*2.45/100,3)),0)</f>
        <v>1.441</v>
      </c>
      <c r="I29" s="35"/>
      <c r="J29" s="195" t="s">
        <v>99</v>
      </c>
      <c r="K29" s="191">
        <f>H29</f>
        <v>1.441</v>
      </c>
    </row>
    <row r="30" spans="1:11" ht="13.5" thickBot="1">
      <c r="A30" s="5"/>
      <c r="B30" s="35" t="s">
        <v>21</v>
      </c>
      <c r="C30" s="13"/>
      <c r="D30" s="13"/>
      <c r="E30" s="50"/>
      <c r="F30" s="50"/>
      <c r="G30" s="35"/>
      <c r="H30" s="92" t="s">
        <v>99</v>
      </c>
      <c r="I30" s="33"/>
      <c r="J30" s="94">
        <f>ROUND(H24*F46/100,3)</f>
        <v>0.953</v>
      </c>
      <c r="K30" s="207">
        <f>J30</f>
        <v>0.953</v>
      </c>
    </row>
    <row r="31" spans="1:11" ht="13.5" thickBot="1">
      <c r="A31" s="6"/>
      <c r="B31" s="233" t="s">
        <v>77</v>
      </c>
      <c r="C31" s="234"/>
      <c r="D31" s="234"/>
      <c r="E31" s="2"/>
      <c r="F31" s="203"/>
      <c r="G31" s="34"/>
      <c r="H31" s="205">
        <f>H27+H28+H29</f>
        <v>11.003000000000002</v>
      </c>
      <c r="I31" s="34"/>
      <c r="J31" s="206">
        <f>J27+J28+J30</f>
        <v>10.515</v>
      </c>
      <c r="K31" s="208">
        <f>H31+J31</f>
        <v>21.518</v>
      </c>
    </row>
    <row r="32" spans="1:11" ht="12.75">
      <c r="A32" s="3"/>
      <c r="B32" s="35"/>
      <c r="C32" s="13"/>
      <c r="D32" s="13"/>
      <c r="E32" s="13"/>
      <c r="F32" s="13"/>
      <c r="H32" s="13"/>
      <c r="K32" s="3"/>
    </row>
    <row r="33" spans="1:11" ht="12.75">
      <c r="A33" s="6"/>
      <c r="B33" s="35"/>
      <c r="C33" s="13"/>
      <c r="D33" s="13"/>
      <c r="E33" s="13" t="s">
        <v>23</v>
      </c>
      <c r="F33" s="13"/>
      <c r="G33" s="13"/>
      <c r="H33" s="92"/>
      <c r="I33" s="33"/>
      <c r="J33" s="94">
        <f>ROUND(H24*F47/100,3)</f>
        <v>1.441</v>
      </c>
      <c r="K33" s="191">
        <f>J33</f>
        <v>1.441</v>
      </c>
    </row>
    <row r="34" spans="1:11" ht="12.75">
      <c r="A34" s="5"/>
      <c r="B34" s="35"/>
      <c r="C34" s="13"/>
      <c r="D34" s="13"/>
      <c r="E34" s="13" t="s">
        <v>24</v>
      </c>
      <c r="F34" s="13"/>
      <c r="G34" s="13"/>
      <c r="H34" s="92"/>
      <c r="I34" s="33"/>
      <c r="J34" s="94">
        <f>ROUND(H24*F48/100,3)</f>
        <v>0.047</v>
      </c>
      <c r="K34" s="191">
        <f>J34</f>
        <v>0.047</v>
      </c>
    </row>
    <row r="35" spans="1:11" ht="12.75">
      <c r="A35" s="3"/>
      <c r="B35" s="233" t="s">
        <v>76</v>
      </c>
      <c r="C35" s="234"/>
      <c r="D35" s="234"/>
      <c r="E35" s="234"/>
      <c r="F35" s="234"/>
      <c r="G35" s="31"/>
      <c r="H35" s="112">
        <f>H31</f>
        <v>11.003000000000002</v>
      </c>
      <c r="I35" s="31"/>
      <c r="J35" s="112">
        <f>J31+J33+J34</f>
        <v>12.003000000000002</v>
      </c>
      <c r="K35" s="191">
        <f>H35+J35</f>
        <v>23.006000000000004</v>
      </c>
    </row>
    <row r="36" spans="1:11" ht="12.75">
      <c r="A36" s="3"/>
      <c r="B36" s="35"/>
      <c r="C36" s="13"/>
      <c r="D36" s="13"/>
      <c r="E36" s="13"/>
      <c r="F36" s="13"/>
      <c r="G36" s="14"/>
      <c r="H36" s="14"/>
      <c r="I36" s="14"/>
      <c r="J36" s="14"/>
      <c r="K36" s="3"/>
    </row>
    <row r="37" spans="1:11" ht="12.75">
      <c r="A37" s="3"/>
      <c r="B37" s="35"/>
      <c r="C37" s="13"/>
      <c r="D37" s="13"/>
      <c r="E37" s="13"/>
      <c r="F37" s="13"/>
      <c r="H37" s="13"/>
      <c r="K37" s="3"/>
    </row>
    <row r="38" spans="1:11" ht="13.5" thickBot="1">
      <c r="A38" s="5"/>
      <c r="B38" s="202" t="s">
        <v>26</v>
      </c>
      <c r="C38" s="7"/>
      <c r="D38" s="7"/>
      <c r="E38" s="7"/>
      <c r="F38" s="26"/>
      <c r="G38" s="26"/>
      <c r="H38" s="26"/>
      <c r="I38" s="26"/>
      <c r="J38" s="26"/>
      <c r="K38" s="49"/>
    </row>
    <row r="39" spans="1:11" ht="13.5" thickTop="1">
      <c r="A39" s="3"/>
      <c r="B39" s="35"/>
      <c r="C39" s="13"/>
      <c r="D39" s="13"/>
      <c r="E39" s="13"/>
      <c r="F39" s="13"/>
      <c r="H39" s="2"/>
      <c r="K39" s="3"/>
    </row>
    <row r="40" spans="1:11" ht="13.5" thickBot="1">
      <c r="A40" s="3"/>
      <c r="B40" s="35" t="s">
        <v>27</v>
      </c>
      <c r="C40" s="13"/>
      <c r="D40" s="13"/>
      <c r="E40" s="13"/>
      <c r="F40" s="13"/>
      <c r="G40" s="33"/>
      <c r="H40" s="199">
        <f>(H24)-(H27+H28+H29)</f>
        <v>47.797</v>
      </c>
      <c r="J40" s="10" t="s">
        <v>278</v>
      </c>
      <c r="K40" s="210"/>
    </row>
    <row r="41" spans="1:11" ht="13.5" thickBot="1">
      <c r="A41" s="3"/>
      <c r="B41" s="12" t="s">
        <v>28</v>
      </c>
      <c r="C41" s="2"/>
      <c r="D41" s="2"/>
      <c r="E41" s="2"/>
      <c r="F41" s="2"/>
      <c r="G41" s="34"/>
      <c r="H41" s="96">
        <f>ROUND(H40*7.5/100,3)</f>
        <v>3.585</v>
      </c>
      <c r="I41" s="43"/>
      <c r="J41" s="209" t="s">
        <v>277</v>
      </c>
      <c r="K41" s="44">
        <f>ROUND(H41*0.1/100,2)</f>
        <v>0</v>
      </c>
    </row>
    <row r="43" spans="2:8" ht="12.75">
      <c r="B43" s="232" t="s">
        <v>78</v>
      </c>
      <c r="C43" s="232"/>
      <c r="D43" s="232"/>
      <c r="E43" s="232"/>
      <c r="F43" s="232"/>
      <c r="G43" s="232"/>
      <c r="H43" s="232"/>
    </row>
    <row r="44" spans="2:8" ht="12.75">
      <c r="B44" s="232" t="s">
        <v>79</v>
      </c>
      <c r="C44" s="232"/>
      <c r="D44" s="232"/>
      <c r="E44" s="232"/>
      <c r="F44" s="232"/>
      <c r="G44" s="232"/>
      <c r="H44" s="232"/>
    </row>
    <row r="45" spans="2:11" ht="12.75">
      <c r="B45" s="188"/>
      <c r="C45" s="188"/>
      <c r="D45" s="188"/>
      <c r="E45" s="188"/>
      <c r="F45" s="188"/>
      <c r="G45" s="188"/>
      <c r="H45" s="188"/>
      <c r="I45" s="188"/>
      <c r="J45" s="188"/>
      <c r="K45" s="188"/>
    </row>
    <row r="46" spans="2:11" ht="12.75">
      <c r="B46" s="187" t="s">
        <v>251</v>
      </c>
      <c r="C46" s="185"/>
      <c r="D46" s="185"/>
      <c r="E46" s="185"/>
      <c r="F46" s="186">
        <v>1.62</v>
      </c>
      <c r="G46" s="185"/>
      <c r="H46" s="187" t="s">
        <v>254</v>
      </c>
      <c r="I46" s="185"/>
      <c r="J46" s="185"/>
      <c r="K46" s="21"/>
    </row>
    <row r="47" spans="2:11" ht="12.75">
      <c r="B47" s="187" t="s">
        <v>252</v>
      </c>
      <c r="C47" s="185"/>
      <c r="D47" s="185"/>
      <c r="E47" s="185"/>
      <c r="F47" s="186">
        <v>2.45</v>
      </c>
      <c r="G47" s="185"/>
      <c r="H47" s="187" t="s">
        <v>255</v>
      </c>
      <c r="I47" s="185"/>
      <c r="J47" s="185"/>
      <c r="K47" s="21"/>
    </row>
    <row r="48" spans="2:11" ht="12.75">
      <c r="B48" s="187" t="s">
        <v>257</v>
      </c>
      <c r="C48" s="185"/>
      <c r="D48" s="185"/>
      <c r="E48" s="185"/>
      <c r="F48" s="186">
        <v>0.08</v>
      </c>
      <c r="G48" s="185"/>
      <c r="H48" s="187" t="s">
        <v>256</v>
      </c>
      <c r="I48" s="185"/>
      <c r="J48" s="185"/>
      <c r="K48" s="21"/>
    </row>
  </sheetData>
  <sheetProtection password="C8B7" sheet="1" objects="1" scenarios="1"/>
  <mergeCells count="12">
    <mergeCell ref="B11:E11"/>
    <mergeCell ref="B15:E15"/>
    <mergeCell ref="B16:G16"/>
    <mergeCell ref="B44:H44"/>
    <mergeCell ref="B22:C22"/>
    <mergeCell ref="B31:D31"/>
    <mergeCell ref="B35:F35"/>
    <mergeCell ref="B43:H43"/>
    <mergeCell ref="C4:E4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blackAndWhite="1" horizontalDpi="120" verticalDpi="12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2:J49"/>
  <sheetViews>
    <sheetView showGridLines="0" showRowColHeaders="0" workbookViewId="0" topLeftCell="A1">
      <selection activeCell="L5" sqref="L5"/>
    </sheetView>
  </sheetViews>
  <sheetFormatPr defaultColWidth="9.00390625" defaultRowHeight="12.75"/>
  <cols>
    <col min="1" max="1" width="7.00390625" style="0" customWidth="1"/>
    <col min="6" max="6" width="8.00390625" style="0" customWidth="1"/>
    <col min="7" max="7" width="8.375" style="0" customWidth="1"/>
    <col min="9" max="9" width="4.125" style="0" customWidth="1"/>
  </cols>
  <sheetData>
    <row r="2" spans="2:10" ht="12.75">
      <c r="B2" s="11" t="s">
        <v>0</v>
      </c>
      <c r="C2" s="11"/>
      <c r="D2" s="244" t="s">
        <v>307</v>
      </c>
      <c r="E2" s="244"/>
      <c r="F2" s="244"/>
      <c r="G2" s="25"/>
      <c r="H2" s="25"/>
      <c r="I2" s="25"/>
      <c r="J2" s="9" t="s">
        <v>1</v>
      </c>
    </row>
    <row r="3" spans="2:10" ht="12.75">
      <c r="B3" s="17"/>
      <c r="C3" s="17"/>
      <c r="D3" s="21"/>
      <c r="E3" s="21"/>
      <c r="F3" s="21"/>
      <c r="G3" s="65"/>
      <c r="H3" s="65"/>
      <c r="I3" s="65"/>
      <c r="J3" s="9" t="s">
        <v>2</v>
      </c>
    </row>
    <row r="4" spans="2:10" ht="12.75">
      <c r="B4" s="17" t="s">
        <v>3</v>
      </c>
      <c r="C4" s="239"/>
      <c r="D4" s="239"/>
      <c r="E4" s="239"/>
      <c r="F4" s="19"/>
      <c r="G4" s="10"/>
      <c r="H4" s="10"/>
      <c r="I4" s="10"/>
      <c r="J4" s="10"/>
    </row>
    <row r="5" spans="2:10" ht="12.75">
      <c r="B5" s="17"/>
      <c r="C5" s="17"/>
      <c r="D5" s="15"/>
      <c r="E5" s="15"/>
      <c r="F5" s="15"/>
      <c r="G5" s="10"/>
      <c r="H5" s="10"/>
      <c r="I5" s="10"/>
      <c r="J5" s="10"/>
    </row>
    <row r="6" spans="2:10" ht="13.5" thickBot="1">
      <c r="B6" s="20" t="s">
        <v>4</v>
      </c>
      <c r="C6" s="20"/>
      <c r="D6" s="20"/>
      <c r="E6" s="15"/>
      <c r="F6" s="15"/>
      <c r="G6" s="18"/>
      <c r="H6" s="18"/>
      <c r="I6" s="18"/>
      <c r="J6" s="18"/>
    </row>
    <row r="7" spans="1:10" ht="13.5" thickTop="1">
      <c r="A7" s="13"/>
      <c r="B7" s="45"/>
      <c r="C7" s="17"/>
      <c r="D7" s="15"/>
      <c r="E7" s="15"/>
      <c r="F7" s="15"/>
      <c r="G7" s="16"/>
      <c r="H7" s="16"/>
      <c r="I7" s="16"/>
      <c r="J7" s="16"/>
    </row>
    <row r="8" spans="1:10" ht="12.75">
      <c r="A8" s="13"/>
      <c r="B8" s="21" t="s">
        <v>5</v>
      </c>
      <c r="C8" s="21"/>
      <c r="D8" s="21"/>
      <c r="E8" s="21"/>
      <c r="F8" s="85">
        <v>85</v>
      </c>
      <c r="G8" s="21"/>
      <c r="H8" s="22" t="s">
        <v>6</v>
      </c>
      <c r="I8" s="23"/>
      <c r="J8" s="86">
        <v>30</v>
      </c>
    </row>
    <row r="9" spans="1:10" ht="12.75">
      <c r="A9" s="13"/>
      <c r="B9" s="230" t="s">
        <v>31</v>
      </c>
      <c r="C9" s="240"/>
      <c r="D9" s="240"/>
      <c r="E9" s="240"/>
      <c r="F9" s="85" t="s">
        <v>29</v>
      </c>
      <c r="G9" s="21"/>
      <c r="H9" s="22"/>
      <c r="I9" s="36"/>
      <c r="J9" s="24"/>
    </row>
    <row r="10" spans="1:10" ht="12.75">
      <c r="A10" s="13"/>
      <c r="B10" s="21"/>
      <c r="C10" s="21"/>
      <c r="D10" s="21"/>
      <c r="E10" s="21"/>
      <c r="F10" s="37"/>
      <c r="G10" s="21"/>
      <c r="H10" s="22"/>
      <c r="I10" s="36"/>
      <c r="J10" s="24"/>
    </row>
    <row r="11" spans="1:10" ht="13.5" thickBot="1">
      <c r="A11" s="13"/>
      <c r="B11" s="60" t="str">
        <f>IF(H13+H14+H15&gt;J8,"BŁĄD dni"," ")</f>
        <v> </v>
      </c>
      <c r="C11" s="60" t="str">
        <f>IF(J8&lt;32,IF(J8&lt;28,"BŁĄD m-c"," "),"BŁĄD m-c")</f>
        <v> </v>
      </c>
      <c r="D11" s="60" t="str">
        <f>IF(F9="nie"," ",IF(F9="tak"," ","BLĄD nie"))</f>
        <v> </v>
      </c>
      <c r="E11" s="61" t="str">
        <f>IF((H13+H14+H15)=0," ",IF(H12=0,"BŁĄD chor"," "))</f>
        <v> </v>
      </c>
      <c r="F11" s="60" t="str">
        <f>IF(H12&gt;0,IF((H13+H14+H15)=0,"BŁĄD chor"," ")," ")</f>
        <v> </v>
      </c>
      <c r="G11" s="38"/>
      <c r="H11" s="39"/>
      <c r="I11" s="36"/>
      <c r="J11" s="24"/>
    </row>
    <row r="12" spans="1:10" ht="13.5" thickTop="1">
      <c r="A12" s="13"/>
      <c r="B12" s="230" t="s">
        <v>30</v>
      </c>
      <c r="C12" s="240"/>
      <c r="D12" s="240"/>
      <c r="E12" s="240"/>
      <c r="F12" s="240"/>
      <c r="G12" s="240"/>
      <c r="H12" s="102"/>
      <c r="I12" s="184"/>
      <c r="J12" s="24"/>
    </row>
    <row r="13" spans="1:10" ht="12.75">
      <c r="A13" s="46"/>
      <c r="B13" s="21" t="s">
        <v>7</v>
      </c>
      <c r="C13" s="21"/>
      <c r="D13" s="21"/>
      <c r="E13" s="21"/>
      <c r="F13" s="21"/>
      <c r="G13" s="21"/>
      <c r="H13" s="86"/>
      <c r="I13" s="185"/>
      <c r="J13" s="27">
        <f>(((H12/30)*F49)*H13)/100</f>
        <v>0</v>
      </c>
    </row>
    <row r="14" spans="1:10" ht="12.75">
      <c r="A14" s="47"/>
      <c r="B14" s="21" t="s">
        <v>8</v>
      </c>
      <c r="C14" s="21"/>
      <c r="D14" s="21"/>
      <c r="E14" s="21"/>
      <c r="F14" s="21"/>
      <c r="G14" s="21"/>
      <c r="H14" s="86"/>
      <c r="I14" s="21"/>
      <c r="J14" s="27">
        <f>((H12/30)*0.8)*H14</f>
        <v>0</v>
      </c>
    </row>
    <row r="15" spans="1:10" ht="12.75">
      <c r="A15" s="47"/>
      <c r="B15" s="21" t="s">
        <v>9</v>
      </c>
      <c r="C15" s="21"/>
      <c r="D15" s="21"/>
      <c r="E15" s="21"/>
      <c r="F15" s="21"/>
      <c r="G15" s="21"/>
      <c r="H15" s="103"/>
      <c r="I15" s="21"/>
      <c r="J15" s="27">
        <f>(H12/30)*H15</f>
        <v>0</v>
      </c>
    </row>
    <row r="16" spans="1:10" ht="12.75">
      <c r="A16" s="13"/>
      <c r="B16" s="21"/>
      <c r="C16" s="21"/>
      <c r="D16" s="21"/>
      <c r="E16" s="21"/>
      <c r="F16" s="21"/>
      <c r="G16" s="21"/>
      <c r="H16" s="24"/>
      <c r="I16" s="21"/>
      <c r="J16" s="21"/>
    </row>
    <row r="17" ht="12.75">
      <c r="A17" s="13"/>
    </row>
    <row r="18" ht="12.75">
      <c r="A18" s="13"/>
    </row>
    <row r="19" spans="1:10" ht="13.5" thickBot="1">
      <c r="A19" s="48"/>
      <c r="B19" s="7" t="s">
        <v>10</v>
      </c>
      <c r="C19" s="7"/>
      <c r="D19" s="7"/>
      <c r="E19" s="7"/>
      <c r="F19" s="26"/>
      <c r="G19" s="26"/>
      <c r="H19" s="26"/>
      <c r="I19" s="26"/>
      <c r="J19" s="26"/>
    </row>
    <row r="20" spans="1:10" ht="13.5" thickTop="1">
      <c r="A20" s="3"/>
      <c r="B20" s="8"/>
      <c r="C20" s="8"/>
      <c r="D20" s="8"/>
      <c r="I20" s="40"/>
      <c r="J20" s="41"/>
    </row>
    <row r="21" spans="1:10" ht="12.75">
      <c r="A21" s="3"/>
      <c r="B21" s="8" t="s">
        <v>11</v>
      </c>
      <c r="C21" s="8"/>
      <c r="D21" s="8"/>
      <c r="H21" s="88">
        <f>(F8/J8)*(J8-(H13+H14+H15))</f>
        <v>85</v>
      </c>
      <c r="I21" s="13"/>
      <c r="J21" s="3"/>
    </row>
    <row r="22" spans="1:10" ht="12.75">
      <c r="A22" s="3"/>
      <c r="C22" s="8" t="s">
        <v>12</v>
      </c>
      <c r="D22" s="8"/>
      <c r="E22" s="8"/>
      <c r="F22" s="8"/>
      <c r="H22" s="104">
        <f>J13</f>
        <v>0</v>
      </c>
      <c r="I22" s="13"/>
      <c r="J22" s="3"/>
    </row>
    <row r="23" spans="1:10" ht="13.5" thickBot="1">
      <c r="A23" s="3"/>
      <c r="C23" s="8" t="s">
        <v>13</v>
      </c>
      <c r="D23" s="8"/>
      <c r="E23" s="8"/>
      <c r="F23" s="8"/>
      <c r="H23" s="104">
        <f>J14+J15</f>
        <v>0</v>
      </c>
      <c r="I23" s="13"/>
      <c r="J23" s="3"/>
    </row>
    <row r="24" spans="1:10" ht="13.5" thickBot="1">
      <c r="A24" s="3"/>
      <c r="B24" t="s">
        <v>14</v>
      </c>
      <c r="H24" s="105">
        <f>IF(H21&gt;99,99,H21)</f>
        <v>85</v>
      </c>
      <c r="I24" s="13"/>
      <c r="J24" s="3"/>
    </row>
    <row r="25" spans="1:10" ht="12.75">
      <c r="A25" s="3"/>
      <c r="I25" s="13"/>
      <c r="J25" s="3"/>
    </row>
    <row r="26" spans="1:10" ht="12.75">
      <c r="A26" s="3"/>
      <c r="E26" s="32" t="s">
        <v>15</v>
      </c>
      <c r="F26" s="32"/>
      <c r="G26" s="1" t="s">
        <v>16</v>
      </c>
      <c r="H26" s="1"/>
      <c r="I26" s="242" t="s">
        <v>17</v>
      </c>
      <c r="J26" s="243"/>
    </row>
    <row r="27" spans="1:10" ht="12.75">
      <c r="A27" s="4"/>
      <c r="B27" t="s">
        <v>18</v>
      </c>
      <c r="E27" s="33"/>
      <c r="F27" s="94">
        <f>IF(F9="tak",0,(ROUND(H24*9.76/100,3)))</f>
        <v>8.296</v>
      </c>
      <c r="G27" s="106"/>
      <c r="H27" s="90">
        <f>IF(F9="tak",0,(ROUND(H24*9.76/100,3)))</f>
        <v>8.296</v>
      </c>
      <c r="I27" s="107"/>
      <c r="J27" s="108">
        <f>F27+H27</f>
        <v>16.592</v>
      </c>
    </row>
    <row r="28" spans="1:10" ht="12.75">
      <c r="A28" s="4"/>
      <c r="B28" t="s">
        <v>19</v>
      </c>
      <c r="E28" s="33"/>
      <c r="F28" s="90">
        <f>IF(F9="tak",0,(ROUND(H24*6.5/100,3)))</f>
        <v>5.525</v>
      </c>
      <c r="G28" s="109"/>
      <c r="H28" s="91">
        <f>IF(F9="tak",0,(ROUND(H24*6.5/100,3)))</f>
        <v>5.525</v>
      </c>
      <c r="I28" s="107"/>
      <c r="J28" s="108">
        <f>F28+H28</f>
        <v>11.05</v>
      </c>
    </row>
    <row r="29" spans="1:10" ht="12.75">
      <c r="A29" s="5"/>
      <c r="B29" t="s">
        <v>20</v>
      </c>
      <c r="E29" s="31"/>
      <c r="F29" s="110">
        <f>ROUND(H24*2.45/100,2)</f>
        <v>2.08</v>
      </c>
      <c r="G29" s="111"/>
      <c r="H29" s="111" t="s">
        <v>99</v>
      </c>
      <c r="I29" s="109"/>
      <c r="J29" s="112">
        <f>F29</f>
        <v>2.08</v>
      </c>
    </row>
    <row r="30" spans="1:10" ht="12.75">
      <c r="A30" s="5"/>
      <c r="B30" t="s">
        <v>21</v>
      </c>
      <c r="E30" s="62"/>
      <c r="F30" s="111" t="s">
        <v>99</v>
      </c>
      <c r="G30" s="107"/>
      <c r="H30" s="90">
        <f>ROUND(H24*F46/100,3)</f>
        <v>1.377</v>
      </c>
      <c r="I30" s="113"/>
      <c r="J30" s="114">
        <f>H30</f>
        <v>1.377</v>
      </c>
    </row>
    <row r="31" spans="1:10" ht="12.75">
      <c r="A31" s="6"/>
      <c r="B31" s="2" t="s">
        <v>22</v>
      </c>
      <c r="C31" s="2"/>
      <c r="D31" s="2"/>
      <c r="E31" s="31"/>
      <c r="F31" s="93">
        <f>F27+F28+F29</f>
        <v>15.901</v>
      </c>
      <c r="G31" s="109"/>
      <c r="H31" s="93">
        <f>H27+H28+H30</f>
        <v>15.198</v>
      </c>
      <c r="I31" s="109"/>
      <c r="J31" s="112">
        <f>F31+H31</f>
        <v>31.099</v>
      </c>
    </row>
    <row r="32" spans="1:10" ht="12.75">
      <c r="A32" s="3"/>
      <c r="I32" s="13"/>
      <c r="J32" s="3"/>
    </row>
    <row r="33" spans="1:10" ht="12.75">
      <c r="A33" s="6"/>
      <c r="E33" t="s">
        <v>23</v>
      </c>
      <c r="G33" s="33"/>
      <c r="H33" s="94">
        <f>ROUND(H24*F47/100,3)</f>
        <v>2.083</v>
      </c>
      <c r="I33" s="109"/>
      <c r="J33" s="115">
        <f>H33</f>
        <v>2.083</v>
      </c>
    </row>
    <row r="34" spans="1:10" ht="12.75">
      <c r="A34" s="5"/>
      <c r="E34" t="s">
        <v>24</v>
      </c>
      <c r="G34" s="33"/>
      <c r="H34" s="94">
        <f>ROUND(H24*F48/100,3)</f>
        <v>0.068</v>
      </c>
      <c r="I34" s="116"/>
      <c r="J34" s="117">
        <f>H34</f>
        <v>0.068</v>
      </c>
    </row>
    <row r="35" spans="1:10" ht="12.75">
      <c r="A35" s="3"/>
      <c r="B35" s="12" t="s">
        <v>25</v>
      </c>
      <c r="C35" s="2"/>
      <c r="D35" s="2"/>
      <c r="E35" s="2"/>
      <c r="F35" s="2"/>
      <c r="G35" s="31"/>
      <c r="H35" s="91">
        <f>H31+H33+H34</f>
        <v>17.349</v>
      </c>
      <c r="I35" s="109"/>
      <c r="J35" s="112">
        <f>J31+J33+J34</f>
        <v>33.25</v>
      </c>
    </row>
    <row r="36" spans="1:10" ht="12.75">
      <c r="A36" s="3"/>
      <c r="B36" s="13"/>
      <c r="C36" s="13"/>
      <c r="D36" s="13"/>
      <c r="E36" s="13"/>
      <c r="F36" s="13"/>
      <c r="G36" s="14"/>
      <c r="H36" s="14"/>
      <c r="I36" s="14"/>
      <c r="J36" s="42"/>
    </row>
    <row r="37" spans="1:10" ht="12.75">
      <c r="A37" s="3"/>
      <c r="I37" s="13"/>
      <c r="J37" s="3"/>
    </row>
    <row r="38" spans="1:10" ht="13.5" thickBot="1">
      <c r="A38" s="5"/>
      <c r="B38" s="7" t="s">
        <v>26</v>
      </c>
      <c r="C38" s="7"/>
      <c r="D38" s="7"/>
      <c r="E38" s="7"/>
      <c r="F38" s="26"/>
      <c r="G38" s="26"/>
      <c r="H38" s="26"/>
      <c r="I38" s="26"/>
      <c r="J38" s="49"/>
    </row>
    <row r="39" spans="1:10" ht="13.5" thickTop="1">
      <c r="A39" s="3"/>
      <c r="I39" s="13"/>
      <c r="J39" s="3"/>
    </row>
    <row r="40" spans="1:10" ht="13.5" thickBot="1">
      <c r="A40" s="3"/>
      <c r="B40" t="s">
        <v>27</v>
      </c>
      <c r="G40" s="33"/>
      <c r="H40" s="95">
        <f>(H24+H22)-(F27+F28+F29)</f>
        <v>69.099</v>
      </c>
      <c r="I40" s="46" t="s">
        <v>279</v>
      </c>
      <c r="J40" s="210"/>
    </row>
    <row r="41" spans="1:10" ht="13.5" thickBot="1">
      <c r="A41" s="3"/>
      <c r="B41" s="12" t="s">
        <v>28</v>
      </c>
      <c r="C41" s="2"/>
      <c r="D41" s="2"/>
      <c r="E41" s="2"/>
      <c r="F41" s="2"/>
      <c r="G41" s="34"/>
      <c r="H41" s="96">
        <f>ROUND(H40*7.5/100,3)</f>
        <v>5.182</v>
      </c>
      <c r="I41" s="211" t="s">
        <v>280</v>
      </c>
      <c r="J41" s="212">
        <f>ROUND(H41*0.1/100,2)</f>
        <v>0.01</v>
      </c>
    </row>
    <row r="43" spans="2:8" ht="12.75">
      <c r="B43" s="232" t="s">
        <v>78</v>
      </c>
      <c r="C43" s="232"/>
      <c r="D43" s="232"/>
      <c r="E43" s="232"/>
      <c r="F43" s="232"/>
      <c r="G43" s="232"/>
      <c r="H43" s="232"/>
    </row>
    <row r="44" spans="2:8" ht="12.75">
      <c r="B44" s="232" t="s">
        <v>79</v>
      </c>
      <c r="C44" s="232"/>
      <c r="D44" s="232"/>
      <c r="E44" s="232"/>
      <c r="F44" s="232"/>
      <c r="G44" s="232"/>
      <c r="H44" s="232"/>
    </row>
    <row r="45" spans="2:10" ht="12.75">
      <c r="B45" s="188"/>
      <c r="C45" s="188"/>
      <c r="D45" s="188"/>
      <c r="E45" s="188"/>
      <c r="F45" s="188"/>
      <c r="G45" s="188"/>
      <c r="H45" s="188"/>
      <c r="I45" s="188"/>
      <c r="J45" s="188"/>
    </row>
    <row r="46" spans="2:10" ht="12.75">
      <c r="B46" s="183" t="s">
        <v>251</v>
      </c>
      <c r="C46" s="21"/>
      <c r="D46" s="21"/>
      <c r="E46" s="21"/>
      <c r="F46" s="186">
        <v>1.62</v>
      </c>
      <c r="G46" s="21"/>
      <c r="H46" s="183" t="s">
        <v>254</v>
      </c>
      <c r="I46" s="21"/>
      <c r="J46" s="21"/>
    </row>
    <row r="47" spans="2:10" ht="12.75">
      <c r="B47" s="183" t="s">
        <v>252</v>
      </c>
      <c r="C47" s="21"/>
      <c r="D47" s="21"/>
      <c r="E47" s="21"/>
      <c r="F47" s="186">
        <v>2.45</v>
      </c>
      <c r="G47" s="21"/>
      <c r="H47" s="183" t="s">
        <v>255</v>
      </c>
      <c r="I47" s="21"/>
      <c r="J47" s="21"/>
    </row>
    <row r="48" spans="2:10" ht="12.75">
      <c r="B48" s="183" t="s">
        <v>257</v>
      </c>
      <c r="C48" s="21"/>
      <c r="D48" s="21"/>
      <c r="E48" s="21"/>
      <c r="F48" s="186">
        <v>0.08</v>
      </c>
      <c r="G48" s="21"/>
      <c r="H48" s="183"/>
      <c r="I48" s="21"/>
      <c r="J48" s="21"/>
    </row>
    <row r="49" spans="2:10" ht="12.75">
      <c r="B49" s="183" t="s">
        <v>253</v>
      </c>
      <c r="C49" s="21"/>
      <c r="D49" s="21"/>
      <c r="E49" s="21"/>
      <c r="F49" s="186">
        <v>80</v>
      </c>
      <c r="G49" s="21"/>
      <c r="H49" s="183" t="s">
        <v>256</v>
      </c>
      <c r="I49" s="21"/>
      <c r="J49" s="21"/>
    </row>
  </sheetData>
  <sheetProtection password="C8B7" sheet="1" objects="1" scenarios="1"/>
  <mergeCells count="7">
    <mergeCell ref="D2:F2"/>
    <mergeCell ref="C4:E4"/>
    <mergeCell ref="B12:G12"/>
    <mergeCell ref="I26:J26"/>
    <mergeCell ref="B9:E9"/>
    <mergeCell ref="B43:H43"/>
    <mergeCell ref="B44:H44"/>
  </mergeCells>
  <printOptions/>
  <pageMargins left="0.7874015748031497" right="0.7874015748031497" top="0.984251968503937" bottom="0.984251968503937" header="0" footer="0"/>
  <pageSetup blackAndWhite="1" horizontalDpi="120" verticalDpi="12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I203"/>
  <sheetViews>
    <sheetView showGridLines="0" showRowColHeaders="0" workbookViewId="0" topLeftCell="A181">
      <selection activeCell="G1" sqref="G1"/>
    </sheetView>
  </sheetViews>
  <sheetFormatPr defaultColWidth="9.00390625" defaultRowHeight="12.75"/>
  <sheetData>
    <row r="1" spans="1:7" ht="12.75">
      <c r="A1" t="s">
        <v>65</v>
      </c>
      <c r="G1" t="s">
        <v>306</v>
      </c>
    </row>
    <row r="2" ht="12.75">
      <c r="A2" t="s">
        <v>237</v>
      </c>
    </row>
    <row r="5" ht="12.75">
      <c r="A5" t="s">
        <v>66</v>
      </c>
    </row>
    <row r="6" ht="12.75">
      <c r="A6" t="s">
        <v>112</v>
      </c>
    </row>
    <row r="7" ht="12.75">
      <c r="A7" t="s">
        <v>113</v>
      </c>
    </row>
    <row r="8" ht="12.75">
      <c r="A8" t="s">
        <v>114</v>
      </c>
    </row>
    <row r="9" ht="12.75">
      <c r="A9" t="s">
        <v>115</v>
      </c>
    </row>
    <row r="10" ht="12.75">
      <c r="A10" t="s">
        <v>67</v>
      </c>
    </row>
    <row r="11" ht="12.75">
      <c r="A11" t="s">
        <v>101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119</v>
      </c>
    </row>
    <row r="16" ht="12.75">
      <c r="A16" t="s">
        <v>120</v>
      </c>
    </row>
    <row r="17" ht="12.75">
      <c r="A17" t="s">
        <v>121</v>
      </c>
    </row>
    <row r="18" ht="12.75">
      <c r="A18" t="s">
        <v>122</v>
      </c>
    </row>
    <row r="19" ht="12.75">
      <c r="A19" t="s">
        <v>123</v>
      </c>
    </row>
    <row r="20" ht="12.75">
      <c r="A20" t="s">
        <v>124</v>
      </c>
    </row>
    <row r="21" ht="12.75">
      <c r="A21" t="s">
        <v>125</v>
      </c>
    </row>
    <row r="22" ht="12.75">
      <c r="A22" t="s">
        <v>126</v>
      </c>
    </row>
    <row r="23" ht="12.75">
      <c r="A23" t="s">
        <v>68</v>
      </c>
    </row>
    <row r="25" ht="12.75">
      <c r="A25" t="s">
        <v>80</v>
      </c>
    </row>
    <row r="26" ht="12.75">
      <c r="A26" t="s">
        <v>81</v>
      </c>
    </row>
    <row r="27" ht="12.75">
      <c r="A27" t="s">
        <v>36</v>
      </c>
    </row>
    <row r="28" ht="12.75">
      <c r="A28" t="s">
        <v>37</v>
      </c>
    </row>
    <row r="29" ht="12.75">
      <c r="A29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4" ht="12.75">
      <c r="A34" t="s">
        <v>42</v>
      </c>
    </row>
    <row r="35" ht="12.75">
      <c r="A35" t="s">
        <v>102</v>
      </c>
    </row>
    <row r="36" ht="12.75">
      <c r="A36" t="s">
        <v>43</v>
      </c>
    </row>
    <row r="37" ht="12.75">
      <c r="A37" t="s">
        <v>154</v>
      </c>
    </row>
    <row r="38" ht="12.75">
      <c r="A38" t="s">
        <v>44</v>
      </c>
    </row>
    <row r="39" ht="12.75">
      <c r="A39" t="s">
        <v>45</v>
      </c>
    </row>
    <row r="40" ht="12.75">
      <c r="A40" t="s">
        <v>103</v>
      </c>
    </row>
    <row r="41" ht="12.75">
      <c r="A41" t="s">
        <v>127</v>
      </c>
    </row>
    <row r="42" ht="12.75">
      <c r="A42" t="s">
        <v>128</v>
      </c>
    </row>
    <row r="43" ht="12.75">
      <c r="A43" t="s">
        <v>137</v>
      </c>
    </row>
    <row r="44" ht="12.75">
      <c r="A44" t="s">
        <v>141</v>
      </c>
    </row>
    <row r="45" ht="12.75">
      <c r="A45" t="s">
        <v>129</v>
      </c>
    </row>
    <row r="46" ht="12.75">
      <c r="A46" t="s">
        <v>130</v>
      </c>
    </row>
    <row r="47" ht="12.75">
      <c r="A47" t="s">
        <v>138</v>
      </c>
    </row>
    <row r="48" ht="12.75">
      <c r="A48" t="s">
        <v>139</v>
      </c>
    </row>
    <row r="49" ht="12.75">
      <c r="A49" t="s">
        <v>47</v>
      </c>
    </row>
    <row r="51" ht="12.75">
      <c r="A51" t="s">
        <v>48</v>
      </c>
    </row>
    <row r="52" ht="12.75">
      <c r="A52" t="s">
        <v>82</v>
      </c>
    </row>
    <row r="53" ht="12.75">
      <c r="A53" t="s">
        <v>55</v>
      </c>
    </row>
    <row r="54" ht="12.75">
      <c r="A54" t="s">
        <v>49</v>
      </c>
    </row>
    <row r="55" ht="12.75">
      <c r="A55" t="s">
        <v>142</v>
      </c>
    </row>
    <row r="56" ht="12.75">
      <c r="A56" t="s">
        <v>56</v>
      </c>
    </row>
    <row r="57" ht="12.75">
      <c r="A57" t="s">
        <v>50</v>
      </c>
    </row>
    <row r="58" ht="12.75">
      <c r="A58" t="s">
        <v>57</v>
      </c>
    </row>
    <row r="59" ht="12.75">
      <c r="A59" t="s">
        <v>51</v>
      </c>
    </row>
    <row r="60" ht="12.75">
      <c r="A60" t="s">
        <v>58</v>
      </c>
    </row>
    <row r="61" ht="12.75">
      <c r="A61" t="s">
        <v>60</v>
      </c>
    </row>
    <row r="63" ht="12.75">
      <c r="A63" t="s">
        <v>98</v>
      </c>
    </row>
    <row r="64" ht="12.75">
      <c r="A64" t="s">
        <v>83</v>
      </c>
    </row>
    <row r="65" ht="12.75">
      <c r="A65" t="s">
        <v>36</v>
      </c>
    </row>
    <row r="66" ht="12.75">
      <c r="A66" t="s">
        <v>37</v>
      </c>
    </row>
    <row r="67" ht="12.75">
      <c r="A67" t="s">
        <v>111</v>
      </c>
    </row>
    <row r="68" ht="12.75">
      <c r="A68" t="s">
        <v>143</v>
      </c>
    </row>
    <row r="69" ht="12.75">
      <c r="A69" t="s">
        <v>155</v>
      </c>
    </row>
    <row r="70" ht="12.75">
      <c r="A70" t="s">
        <v>210</v>
      </c>
    </row>
    <row r="71" ht="12.75">
      <c r="A71" t="s">
        <v>104</v>
      </c>
    </row>
    <row r="72" ht="12.75">
      <c r="A72" t="s">
        <v>105</v>
      </c>
    </row>
    <row r="73" ht="12.75">
      <c r="A73" t="s">
        <v>144</v>
      </c>
    </row>
    <row r="74" ht="12.75">
      <c r="A74" t="s">
        <v>84</v>
      </c>
    </row>
    <row r="75" ht="12.75">
      <c r="A75" t="s">
        <v>106</v>
      </c>
    </row>
    <row r="76" ht="12.75">
      <c r="A76" t="s">
        <v>107</v>
      </c>
    </row>
    <row r="77" ht="12.75">
      <c r="A77" t="s">
        <v>108</v>
      </c>
    </row>
    <row r="79" ht="12.75">
      <c r="A79" t="s">
        <v>42</v>
      </c>
    </row>
    <row r="80" ht="12.75">
      <c r="A80" t="s">
        <v>146</v>
      </c>
    </row>
    <row r="81" ht="12.75">
      <c r="A81" t="s">
        <v>238</v>
      </c>
    </row>
    <row r="82" ht="12.75">
      <c r="A82" t="s">
        <v>156</v>
      </c>
    </row>
    <row r="83" ht="12.75">
      <c r="A83" t="s">
        <v>44</v>
      </c>
    </row>
    <row r="84" ht="12.75">
      <c r="A84" t="s">
        <v>45</v>
      </c>
    </row>
    <row r="85" ht="12.75">
      <c r="A85" t="s">
        <v>157</v>
      </c>
    </row>
    <row r="86" ht="12.75">
      <c r="A86" t="s">
        <v>69</v>
      </c>
    </row>
    <row r="87" ht="12.75">
      <c r="A87" t="s">
        <v>46</v>
      </c>
    </row>
    <row r="88" ht="12.75">
      <c r="A88" t="s">
        <v>110</v>
      </c>
    </row>
    <row r="89" ht="12.75">
      <c r="A89" t="s">
        <v>162</v>
      </c>
    </row>
    <row r="90" ht="12.75">
      <c r="A90" t="s">
        <v>163</v>
      </c>
    </row>
    <row r="91" ht="12.75">
      <c r="A91" t="s">
        <v>164</v>
      </c>
    </row>
    <row r="92" ht="12.75">
      <c r="A92" t="s">
        <v>158</v>
      </c>
    </row>
    <row r="93" ht="12.75">
      <c r="A93" t="s">
        <v>159</v>
      </c>
    </row>
    <row r="94" ht="12.75">
      <c r="A94" t="s">
        <v>160</v>
      </c>
    </row>
    <row r="96" ht="12.75">
      <c r="A96" t="s">
        <v>153</v>
      </c>
    </row>
    <row r="97" ht="12.75">
      <c r="A97" t="s">
        <v>85</v>
      </c>
    </row>
    <row r="98" ht="12.75">
      <c r="A98" t="s">
        <v>86</v>
      </c>
    </row>
    <row r="99" ht="12.75">
      <c r="A99" t="s">
        <v>109</v>
      </c>
    </row>
    <row r="100" ht="12.75">
      <c r="A100" t="s">
        <v>145</v>
      </c>
    </row>
    <row r="102" ht="12.75">
      <c r="A102" t="s">
        <v>87</v>
      </c>
    </row>
    <row r="103" ht="12.75">
      <c r="A103" t="s">
        <v>88</v>
      </c>
    </row>
    <row r="104" ht="12.75">
      <c r="A104" t="s">
        <v>61</v>
      </c>
    </row>
    <row r="105" ht="12.75">
      <c r="A105" t="s">
        <v>62</v>
      </c>
    </row>
    <row r="106" ht="12.75">
      <c r="A106" t="s">
        <v>89</v>
      </c>
    </row>
    <row r="107" ht="12.75">
      <c r="A107" t="s">
        <v>52</v>
      </c>
    </row>
    <row r="108" ht="12.75">
      <c r="A108" t="s">
        <v>90</v>
      </c>
    </row>
    <row r="109" ht="12.75">
      <c r="A109" t="s">
        <v>59</v>
      </c>
    </row>
    <row r="110" ht="12.75">
      <c r="A110" t="s">
        <v>91</v>
      </c>
    </row>
    <row r="111" ht="12.75">
      <c r="A111" t="s">
        <v>53</v>
      </c>
    </row>
    <row r="112" ht="12.75">
      <c r="A112" t="s">
        <v>54</v>
      </c>
    </row>
    <row r="113" ht="12.75">
      <c r="A113" t="s">
        <v>92</v>
      </c>
    </row>
    <row r="114" ht="12.75">
      <c r="A114" t="s">
        <v>93</v>
      </c>
    </row>
    <row r="115" ht="12.75">
      <c r="A115" t="s">
        <v>59</v>
      </c>
    </row>
    <row r="116" ht="12.75">
      <c r="A116" t="s">
        <v>91</v>
      </c>
    </row>
    <row r="117" ht="12.75">
      <c r="A117" t="s">
        <v>94</v>
      </c>
    </row>
    <row r="118" ht="12.75">
      <c r="A118" t="s">
        <v>147</v>
      </c>
    </row>
    <row r="119" ht="12.75">
      <c r="A119" t="s">
        <v>131</v>
      </c>
    </row>
    <row r="120" ht="12.75">
      <c r="A120" t="s">
        <v>132</v>
      </c>
    </row>
    <row r="121" ht="12.75">
      <c r="A121" t="s">
        <v>133</v>
      </c>
    </row>
    <row r="122" ht="12.75">
      <c r="A122" t="s">
        <v>134</v>
      </c>
    </row>
    <row r="123" ht="12.75">
      <c r="A123" t="s">
        <v>135</v>
      </c>
    </row>
    <row r="125" ht="12.75">
      <c r="A125" t="s">
        <v>95</v>
      </c>
    </row>
    <row r="126" ht="12.75">
      <c r="A126" t="s">
        <v>96</v>
      </c>
    </row>
    <row r="128" ht="12.75">
      <c r="A128" t="s">
        <v>148</v>
      </c>
    </row>
    <row r="130" ht="12.75">
      <c r="A130" t="s">
        <v>161</v>
      </c>
    </row>
    <row r="131" ht="12.75">
      <c r="A131" t="s">
        <v>149</v>
      </c>
    </row>
    <row r="132" ht="12.75">
      <c r="A132" t="s">
        <v>150</v>
      </c>
    </row>
    <row r="133" ht="12.75">
      <c r="A133" t="s">
        <v>151</v>
      </c>
    </row>
    <row r="135" ht="12.75">
      <c r="A135" t="s">
        <v>136</v>
      </c>
    </row>
    <row r="136" ht="12.75">
      <c r="A136" t="s">
        <v>140</v>
      </c>
    </row>
    <row r="137" ht="12.75">
      <c r="A137" t="s">
        <v>211</v>
      </c>
    </row>
    <row r="138" ht="12.75">
      <c r="A138" t="s">
        <v>212</v>
      </c>
    </row>
    <row r="140" ht="12.75">
      <c r="A140" t="s">
        <v>152</v>
      </c>
    </row>
    <row r="141" ht="12.75">
      <c r="A141" t="s">
        <v>63</v>
      </c>
    </row>
    <row r="143" ht="12.75">
      <c r="A143" t="s">
        <v>97</v>
      </c>
    </row>
    <row r="144" ht="12.75">
      <c r="A144" t="s">
        <v>64</v>
      </c>
    </row>
    <row r="146" ht="12.75">
      <c r="A146" t="s">
        <v>213</v>
      </c>
    </row>
    <row r="147" ht="12.75">
      <c r="A147" t="s">
        <v>214</v>
      </c>
    </row>
    <row r="149" ht="12.75">
      <c r="A149" t="s">
        <v>215</v>
      </c>
    </row>
    <row r="150" ht="12.75">
      <c r="A150" t="s">
        <v>216</v>
      </c>
    </row>
    <row r="151" ht="12.75">
      <c r="A151" t="s">
        <v>217</v>
      </c>
    </row>
    <row r="152" ht="12.75">
      <c r="A152" s="2" t="s">
        <v>218</v>
      </c>
    </row>
    <row r="153" ht="12.75">
      <c r="A153" s="204" t="s">
        <v>219</v>
      </c>
    </row>
    <row r="154" ht="12.75">
      <c r="A154" s="204" t="s">
        <v>220</v>
      </c>
    </row>
    <row r="155" spans="1:2" ht="12.75">
      <c r="A155" s="2" t="s">
        <v>221</v>
      </c>
      <c r="B155" s="2"/>
    </row>
    <row r="156" ht="12.75">
      <c r="A156" t="s">
        <v>239</v>
      </c>
    </row>
    <row r="157" ht="12.75">
      <c r="A157" t="s">
        <v>240</v>
      </c>
    </row>
    <row r="159" ht="12.75">
      <c r="A159" t="s">
        <v>222</v>
      </c>
    </row>
    <row r="160" spans="1:4" ht="12.75">
      <c r="A160" s="219" t="s">
        <v>285</v>
      </c>
      <c r="B160" s="219"/>
      <c r="C160" s="219"/>
      <c r="D160" s="218"/>
    </row>
    <row r="161" spans="1:8" ht="12.75">
      <c r="A161" t="s">
        <v>286</v>
      </c>
      <c r="H161" t="s">
        <v>287</v>
      </c>
    </row>
    <row r="162" ht="12.75">
      <c r="A162" t="s">
        <v>288</v>
      </c>
    </row>
    <row r="163" ht="12.75">
      <c r="A163" s="2" t="s">
        <v>223</v>
      </c>
    </row>
    <row r="164" spans="1:3" ht="12.75">
      <c r="A164" s="2" t="s">
        <v>227</v>
      </c>
      <c r="B164" s="2"/>
      <c r="C164" s="2"/>
    </row>
    <row r="165" ht="12.75">
      <c r="A165" t="s">
        <v>228</v>
      </c>
    </row>
    <row r="166" ht="12.75">
      <c r="A166" t="s">
        <v>241</v>
      </c>
    </row>
    <row r="167" ht="12.75">
      <c r="A167" t="s">
        <v>242</v>
      </c>
    </row>
    <row r="168" ht="12.75">
      <c r="A168" t="s">
        <v>243</v>
      </c>
    </row>
    <row r="169" ht="12.75">
      <c r="A169" t="s">
        <v>244</v>
      </c>
    </row>
    <row r="170" ht="12.75">
      <c r="A170" t="s">
        <v>245</v>
      </c>
    </row>
    <row r="171" ht="12.75">
      <c r="A171" t="s">
        <v>224</v>
      </c>
    </row>
    <row r="172" ht="12.75">
      <c r="A172" t="s">
        <v>225</v>
      </c>
    </row>
    <row r="173" ht="12.75">
      <c r="A173" t="s">
        <v>226</v>
      </c>
    </row>
    <row r="174" ht="12.75">
      <c r="A174" t="s">
        <v>246</v>
      </c>
    </row>
    <row r="175" ht="12.75">
      <c r="A175" t="s">
        <v>247</v>
      </c>
    </row>
    <row r="176" ht="12.75">
      <c r="A176" t="s">
        <v>248</v>
      </c>
    </row>
    <row r="177" ht="12.75">
      <c r="A177" t="s">
        <v>249</v>
      </c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80" ht="12.75">
      <c r="A180" t="s">
        <v>258</v>
      </c>
    </row>
    <row r="181" spans="1:2" ht="12.75">
      <c r="A181" s="2" t="s">
        <v>259</v>
      </c>
      <c r="B181" s="2"/>
    </row>
    <row r="182" ht="12.75">
      <c r="A182" t="s">
        <v>260</v>
      </c>
    </row>
    <row r="183" spans="1:7" ht="12.75">
      <c r="A183" t="s">
        <v>261</v>
      </c>
      <c r="G183" t="s">
        <v>263</v>
      </c>
    </row>
    <row r="184" ht="12.75">
      <c r="A184" t="s">
        <v>262</v>
      </c>
    </row>
    <row r="185" ht="12.75">
      <c r="A185" t="s">
        <v>264</v>
      </c>
    </row>
    <row r="186" spans="1:8" ht="12.75">
      <c r="A186" t="s">
        <v>265</v>
      </c>
      <c r="H186" t="s">
        <v>266</v>
      </c>
    </row>
    <row r="187" ht="12.75">
      <c r="A187" t="s">
        <v>267</v>
      </c>
    </row>
    <row r="188" ht="12.75">
      <c r="A188" t="s">
        <v>268</v>
      </c>
    </row>
    <row r="189" ht="12.75">
      <c r="A189" s="2" t="s">
        <v>271</v>
      </c>
    </row>
    <row r="190" ht="12.75">
      <c r="A190" t="s">
        <v>272</v>
      </c>
    </row>
    <row r="191" ht="12.75">
      <c r="A191" s="2" t="s">
        <v>273</v>
      </c>
    </row>
    <row r="192" spans="1:8" ht="12.75">
      <c r="A192" s="214" t="s">
        <v>281</v>
      </c>
      <c r="B192" s="213"/>
      <c r="C192" s="213"/>
      <c r="D192" s="213"/>
      <c r="E192" s="213"/>
      <c r="F192" s="213"/>
      <c r="G192" s="213"/>
      <c r="H192" s="213"/>
    </row>
    <row r="193" ht="12.75">
      <c r="A193" t="s">
        <v>283</v>
      </c>
    </row>
    <row r="194" ht="12.75">
      <c r="A194" t="s">
        <v>284</v>
      </c>
    </row>
    <row r="195" ht="12.75">
      <c r="A195" s="219" t="s">
        <v>289</v>
      </c>
    </row>
    <row r="196" ht="12.75">
      <c r="A196" t="s">
        <v>290</v>
      </c>
    </row>
    <row r="197" ht="12.75">
      <c r="A197" t="s">
        <v>292</v>
      </c>
    </row>
    <row r="198" ht="12.75">
      <c r="A198" t="s">
        <v>293</v>
      </c>
    </row>
    <row r="199" ht="12.75">
      <c r="A199" s="2" t="s">
        <v>295</v>
      </c>
    </row>
    <row r="200" spans="1:8" ht="12.75">
      <c r="A200" s="13" t="s">
        <v>296</v>
      </c>
      <c r="H200" t="s">
        <v>297</v>
      </c>
    </row>
    <row r="201" ht="12.75">
      <c r="A201" t="s">
        <v>298</v>
      </c>
    </row>
    <row r="202" ht="12.75">
      <c r="A202" t="s">
        <v>299</v>
      </c>
    </row>
    <row r="203" ht="12.75">
      <c r="A203" s="223" t="s">
        <v>300</v>
      </c>
    </row>
  </sheetData>
  <sheetProtection password="C8B7" sheet="1" objects="1" scenarios="1"/>
  <printOptions/>
  <pageMargins left="0.5905511811023623" right="0.3937007874015748" top="0.984251968503937" bottom="0.7874015748031497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L45"/>
  <sheetViews>
    <sheetView showGridLines="0" showRowColHeaders="0" tabSelected="1" workbookViewId="0" topLeftCell="A1">
      <selection activeCell="B17" sqref="B17"/>
    </sheetView>
  </sheetViews>
  <sheetFormatPr defaultColWidth="9.00390625" defaultRowHeight="12.75"/>
  <cols>
    <col min="1" max="1" width="10.125" style="0" customWidth="1"/>
    <col min="2" max="2" width="9.625" style="0" customWidth="1"/>
    <col min="3" max="3" width="8.75390625" style="0" customWidth="1"/>
    <col min="4" max="4" width="9.00390625" style="0" customWidth="1"/>
    <col min="6" max="7" width="9.375" style="0" customWidth="1"/>
    <col min="8" max="8" width="8.25390625" style="0" customWidth="1"/>
    <col min="9" max="9" width="9.00390625" style="0" customWidth="1"/>
    <col min="10" max="10" width="7.875" style="77" customWidth="1"/>
    <col min="11" max="11" width="8.125" style="0" customWidth="1"/>
  </cols>
  <sheetData>
    <row r="1" spans="1:8" ht="12.75">
      <c r="A1" s="80" t="s">
        <v>301</v>
      </c>
      <c r="B1" s="80"/>
      <c r="C1" s="80"/>
      <c r="D1" s="80"/>
      <c r="E1" s="80"/>
      <c r="F1" s="80"/>
      <c r="G1" s="80"/>
      <c r="H1" s="127"/>
    </row>
    <row r="2" spans="1:4" ht="12.75">
      <c r="A2" s="84" t="s">
        <v>269</v>
      </c>
      <c r="B2" s="121"/>
      <c r="C2" s="122"/>
      <c r="D2" s="123"/>
    </row>
    <row r="4" spans="1:11" ht="12.75">
      <c r="A4" s="70" t="s">
        <v>165</v>
      </c>
      <c r="B4" s="70"/>
      <c r="C4" s="70" t="s">
        <v>166</v>
      </c>
      <c r="D4" s="70"/>
      <c r="E4" s="70"/>
      <c r="F4" s="71" t="s">
        <v>167</v>
      </c>
      <c r="G4" s="70"/>
      <c r="H4" s="71"/>
      <c r="I4" s="70" t="s">
        <v>203</v>
      </c>
      <c r="J4" s="78"/>
      <c r="K4" s="70"/>
    </row>
    <row r="5" spans="1:11" ht="13.5" thickBot="1">
      <c r="A5" s="70"/>
      <c r="B5" s="70" t="s">
        <v>168</v>
      </c>
      <c r="C5" s="70"/>
      <c r="D5" s="70">
        <v>36.35</v>
      </c>
      <c r="E5" s="70"/>
      <c r="F5" s="71">
        <v>81.64</v>
      </c>
      <c r="G5" s="70"/>
      <c r="H5" s="71">
        <v>0</v>
      </c>
      <c r="I5" s="79">
        <v>32736</v>
      </c>
      <c r="J5" s="72" t="s">
        <v>303</v>
      </c>
      <c r="K5" s="70"/>
    </row>
    <row r="6" spans="1:11" ht="13.5" thickBot="1">
      <c r="A6" s="70"/>
      <c r="B6" s="70" t="s">
        <v>169</v>
      </c>
      <c r="C6" s="70"/>
      <c r="D6" s="73">
        <v>436.2</v>
      </c>
      <c r="E6" s="70"/>
      <c r="F6" s="71"/>
      <c r="G6" s="70"/>
      <c r="H6" s="71">
        <v>32736</v>
      </c>
      <c r="I6" s="79">
        <v>65472</v>
      </c>
      <c r="J6" s="72" t="s">
        <v>304</v>
      </c>
      <c r="K6" s="70"/>
    </row>
    <row r="7" spans="1:11" ht="12.75">
      <c r="A7" s="70"/>
      <c r="B7" s="70"/>
      <c r="C7" s="70"/>
      <c r="D7" s="70"/>
      <c r="E7" s="131"/>
      <c r="F7" s="70"/>
      <c r="G7" s="70"/>
      <c r="H7" s="71">
        <v>65472</v>
      </c>
      <c r="I7" s="79"/>
      <c r="J7" s="72" t="s">
        <v>305</v>
      </c>
      <c r="K7" s="70"/>
    </row>
    <row r="10" spans="1:12" ht="12.75">
      <c r="A10" s="74" t="s">
        <v>202</v>
      </c>
      <c r="B10" s="74" t="s">
        <v>194</v>
      </c>
      <c r="C10" s="74" t="s">
        <v>195</v>
      </c>
      <c r="D10" s="74" t="s">
        <v>196</v>
      </c>
      <c r="E10" s="135" t="s">
        <v>207</v>
      </c>
      <c r="F10" s="135" t="s">
        <v>208</v>
      </c>
      <c r="G10" s="129" t="s">
        <v>209</v>
      </c>
      <c r="H10" s="136" t="s">
        <v>201</v>
      </c>
      <c r="I10" s="129" t="s">
        <v>206</v>
      </c>
      <c r="J10" s="128" t="s">
        <v>200</v>
      </c>
      <c r="K10" s="130" t="s">
        <v>205</v>
      </c>
      <c r="L10" s="75"/>
    </row>
    <row r="11" spans="1:12" ht="12.75">
      <c r="A11" s="139" t="s">
        <v>170</v>
      </c>
      <c r="B11" s="137"/>
      <c r="C11" s="138"/>
      <c r="D11" s="118"/>
      <c r="E11" s="132">
        <f>B11-C11-D11</f>
        <v>0</v>
      </c>
      <c r="F11" s="132"/>
      <c r="G11" s="118"/>
      <c r="H11" s="132"/>
      <c r="I11" s="148"/>
      <c r="J11" s="120"/>
      <c r="K11" s="142"/>
      <c r="L11" s="75"/>
    </row>
    <row r="12" spans="1:12" ht="12.75">
      <c r="A12" s="140" t="s">
        <v>182</v>
      </c>
      <c r="B12" s="76">
        <f>B11</f>
        <v>0</v>
      </c>
      <c r="C12" s="76">
        <f>C11</f>
        <v>0</v>
      </c>
      <c r="D12" s="76">
        <f>D11</f>
        <v>0</v>
      </c>
      <c r="E12" s="220">
        <f>ROUND(B12-C12-D12,0)</f>
        <v>0</v>
      </c>
      <c r="F12" s="133">
        <f>IF(E12&lt;32736.01,((0.19*E12)-D6),IF(E12&lt;65472.01,0.3*(E12-32736)+5783.64,0.4*(E12-65472)+15604.44))</f>
        <v>-436.2</v>
      </c>
      <c r="G12" s="76">
        <f>G11</f>
        <v>0</v>
      </c>
      <c r="H12" s="133">
        <f>F12-G12</f>
        <v>-436.2</v>
      </c>
      <c r="I12" s="119">
        <v>0</v>
      </c>
      <c r="J12" s="125">
        <f>IF(H12&lt;0,0,IF((H12-I12)&lt;0,0,H12-I12))</f>
        <v>0</v>
      </c>
      <c r="K12" s="143">
        <f>(TRUNC((J12*10)+0.5))/10</f>
        <v>0</v>
      </c>
      <c r="L12" s="75"/>
    </row>
    <row r="13" spans="1:12" ht="12.75">
      <c r="A13" s="139" t="s">
        <v>171</v>
      </c>
      <c r="B13" s="137"/>
      <c r="C13" s="138"/>
      <c r="D13" s="118"/>
      <c r="E13" s="132">
        <f>B13-C13-D13</f>
        <v>0</v>
      </c>
      <c r="F13" s="133"/>
      <c r="G13" s="118"/>
      <c r="H13" s="132"/>
      <c r="I13" s="148"/>
      <c r="J13" s="126"/>
      <c r="K13" s="147"/>
      <c r="L13" s="75"/>
    </row>
    <row r="14" spans="1:12" ht="12.75">
      <c r="A14" s="140" t="s">
        <v>183</v>
      </c>
      <c r="B14" s="76">
        <f>B13+B12</f>
        <v>0</v>
      </c>
      <c r="C14" s="76">
        <f>C13+C12</f>
        <v>0</v>
      </c>
      <c r="D14" s="76">
        <f>D13+D12</f>
        <v>0</v>
      </c>
      <c r="E14" s="220">
        <f>ROUND(B14-C14-D14,0)</f>
        <v>0</v>
      </c>
      <c r="F14" s="133">
        <f>IF(E14&lt;32736.01,((0.19*E14)-D6),IF(E14&lt;65472.01,0.3*(E14-32736)+5783.64,0.4*(E14-65472)+15604.44))</f>
        <v>-436.2</v>
      </c>
      <c r="G14" s="76">
        <f>G12+G13</f>
        <v>0</v>
      </c>
      <c r="H14" s="133">
        <f>F14-G14</f>
        <v>-436.2</v>
      </c>
      <c r="I14" s="119">
        <f>K12</f>
        <v>0</v>
      </c>
      <c r="J14" s="125">
        <f>IF(H14&lt;0,0,IF((H14-I14)&lt;0,0,H14-I14))</f>
        <v>0</v>
      </c>
      <c r="K14" s="143">
        <f>(TRUNC((J14*10)+0.5))/10</f>
        <v>0</v>
      </c>
      <c r="L14" s="75"/>
    </row>
    <row r="15" spans="1:12" ht="12.75">
      <c r="A15" s="139" t="s">
        <v>172</v>
      </c>
      <c r="B15" s="224"/>
      <c r="C15" s="225"/>
      <c r="D15" s="224"/>
      <c r="E15" s="132">
        <f>B15-C15-D15</f>
        <v>0</v>
      </c>
      <c r="F15" s="133"/>
      <c r="G15" s="224"/>
      <c r="H15" s="132"/>
      <c r="I15" s="148"/>
      <c r="J15" s="126"/>
      <c r="K15" s="147"/>
      <c r="L15" s="75"/>
    </row>
    <row r="16" spans="1:12" ht="12.75">
      <c r="A16" s="140" t="s">
        <v>184</v>
      </c>
      <c r="B16" s="119">
        <f>B15+B14</f>
        <v>0</v>
      </c>
      <c r="C16" s="119">
        <f>C15+C14</f>
        <v>0</v>
      </c>
      <c r="D16" s="119">
        <f>D15+D14</f>
        <v>0</v>
      </c>
      <c r="E16" s="220">
        <f>ROUND(B16-C16-D16,0)</f>
        <v>0</v>
      </c>
      <c r="F16" s="133">
        <f>IF(E16&lt;32736.01,((0.19*E16)-D6),IF(E16&lt;65472.01,0.3*(E16-32736)+5783.64,0.4*(E16-65472)+15604.44))</f>
        <v>-436.2</v>
      </c>
      <c r="G16" s="119">
        <f>G14+G15</f>
        <v>0</v>
      </c>
      <c r="H16" s="133">
        <f>F16-G16</f>
        <v>-436.2</v>
      </c>
      <c r="I16" s="119">
        <f>K14+K12</f>
        <v>0</v>
      </c>
      <c r="J16" s="125">
        <f>IF(H16&lt;0,0,IF((H16-I16)&lt;0,0,H16-I16))</f>
        <v>0</v>
      </c>
      <c r="K16" s="143">
        <f>(TRUNC((J16*10)+0.5))/10</f>
        <v>0</v>
      </c>
      <c r="L16" s="75"/>
    </row>
    <row r="17" spans="1:12" ht="12.75">
      <c r="A17" s="139" t="s">
        <v>173</v>
      </c>
      <c r="B17" s="224"/>
      <c r="C17" s="225"/>
      <c r="D17" s="224"/>
      <c r="E17" s="132">
        <f aca="true" t="shared" si="0" ref="E17:E33">B17-C17-D17</f>
        <v>0</v>
      </c>
      <c r="F17" s="133"/>
      <c r="G17" s="224"/>
      <c r="H17" s="132"/>
      <c r="I17" s="148"/>
      <c r="J17" s="126"/>
      <c r="K17" s="147"/>
      <c r="L17" s="75"/>
    </row>
    <row r="18" spans="1:12" ht="12.75">
      <c r="A18" s="140" t="s">
        <v>185</v>
      </c>
      <c r="B18" s="119">
        <f>B17+B16</f>
        <v>0</v>
      </c>
      <c r="C18" s="119">
        <f>C17+C16</f>
        <v>0</v>
      </c>
      <c r="D18" s="119">
        <f>D17+D16</f>
        <v>0</v>
      </c>
      <c r="E18" s="220">
        <f>ROUND(B18-C18-D18,0)</f>
        <v>0</v>
      </c>
      <c r="F18" s="133">
        <f>IF(E18&lt;32736.01,((0.19*E18)-D6),IF(E18&lt;65472.01,0.3*(E18-32736)+5783.64,0.4*(E18-65472)+15604.44))</f>
        <v>-436.2</v>
      </c>
      <c r="G18" s="119">
        <f>G16+G17</f>
        <v>0</v>
      </c>
      <c r="H18" s="133">
        <f>F18-G18</f>
        <v>-436.2</v>
      </c>
      <c r="I18" s="119">
        <f>K12+K14+K16</f>
        <v>0</v>
      </c>
      <c r="J18" s="125">
        <f>IF(H18&lt;0,0,IF((H18-I18)&lt;0,0,H18-I18))</f>
        <v>0</v>
      </c>
      <c r="K18" s="143">
        <f>(TRUNC((J18*10)+0.5))/10</f>
        <v>0</v>
      </c>
      <c r="L18" s="75"/>
    </row>
    <row r="19" spans="1:12" ht="12.75">
      <c r="A19" s="139" t="s">
        <v>174</v>
      </c>
      <c r="B19" s="224"/>
      <c r="C19" s="225"/>
      <c r="D19" s="224"/>
      <c r="E19" s="132">
        <f t="shared" si="0"/>
        <v>0</v>
      </c>
      <c r="F19" s="133"/>
      <c r="G19" s="224"/>
      <c r="H19" s="132"/>
      <c r="I19" s="148"/>
      <c r="J19" s="126"/>
      <c r="K19" s="147"/>
      <c r="L19" s="75"/>
    </row>
    <row r="20" spans="1:12" ht="12.75">
      <c r="A20" s="140" t="s">
        <v>186</v>
      </c>
      <c r="B20" s="119">
        <f>B19+B18</f>
        <v>0</v>
      </c>
      <c r="C20" s="119">
        <f>C19+C18</f>
        <v>0</v>
      </c>
      <c r="D20" s="119">
        <f>D19+D18</f>
        <v>0</v>
      </c>
      <c r="E20" s="220">
        <f>ROUND(B20-C20-D20,0)</f>
        <v>0</v>
      </c>
      <c r="F20" s="133">
        <f>IF(E20&lt;32736.01,((0.19*E20)-D6),IF(E20&lt;65472.01,0.3*(E20-32736)+5783.64,0.4*(E20-65472)+15604.44))</f>
        <v>-436.2</v>
      </c>
      <c r="G20" s="119">
        <f>G18+G19</f>
        <v>0</v>
      </c>
      <c r="H20" s="133">
        <f>F20-G20</f>
        <v>-436.2</v>
      </c>
      <c r="I20" s="119">
        <f>K12+K14+K16+K18</f>
        <v>0</v>
      </c>
      <c r="J20" s="125">
        <f>IF(H20&lt;0,0,IF((H20-I20)&lt;0,0,H20-I20))</f>
        <v>0</v>
      </c>
      <c r="K20" s="143">
        <f>(TRUNC((J20*10)+0.5))/10</f>
        <v>0</v>
      </c>
      <c r="L20" s="75"/>
    </row>
    <row r="21" spans="1:12" ht="12.75">
      <c r="A21" s="139" t="s">
        <v>175</v>
      </c>
      <c r="B21" s="224"/>
      <c r="C21" s="225"/>
      <c r="D21" s="224"/>
      <c r="E21" s="132">
        <f t="shared" si="0"/>
        <v>0</v>
      </c>
      <c r="F21" s="133"/>
      <c r="G21" s="224"/>
      <c r="H21" s="132"/>
      <c r="I21" s="148"/>
      <c r="J21" s="126"/>
      <c r="K21" s="147"/>
      <c r="L21" s="75"/>
    </row>
    <row r="22" spans="1:12" ht="12.75">
      <c r="A22" s="140" t="s">
        <v>187</v>
      </c>
      <c r="B22" s="119">
        <f>B21+B20</f>
        <v>0</v>
      </c>
      <c r="C22" s="119">
        <f>C21+C20</f>
        <v>0</v>
      </c>
      <c r="D22" s="119">
        <f>D21+D20</f>
        <v>0</v>
      </c>
      <c r="E22" s="220">
        <f>ROUND(B22-C22-D22,0)</f>
        <v>0</v>
      </c>
      <c r="F22" s="133">
        <f>IF(E22&lt;32736.01,((0.19*E22)-D6),IF(E22&lt;65472.01,0.3*(E22-32736)+5783.64,0.4*(E22-65472)+15604.44))</f>
        <v>-436.2</v>
      </c>
      <c r="G22" s="119">
        <f>G20+G21</f>
        <v>0</v>
      </c>
      <c r="H22" s="133">
        <f>F22-G22</f>
        <v>-436.2</v>
      </c>
      <c r="I22" s="119">
        <f>K12+K14+K16+K18+K20</f>
        <v>0</v>
      </c>
      <c r="J22" s="125">
        <f>IF(H22&lt;0,0,IF((H22-I22)&lt;0,0,H22-I22))</f>
        <v>0</v>
      </c>
      <c r="K22" s="143">
        <f>(TRUNC((J22*10)+0.5))/10</f>
        <v>0</v>
      </c>
      <c r="L22" s="75"/>
    </row>
    <row r="23" spans="1:12" ht="12.75">
      <c r="A23" s="139" t="s">
        <v>176</v>
      </c>
      <c r="B23" s="224"/>
      <c r="C23" s="225"/>
      <c r="D23" s="224"/>
      <c r="E23" s="132">
        <f t="shared" si="0"/>
        <v>0</v>
      </c>
      <c r="F23" s="133"/>
      <c r="G23" s="224"/>
      <c r="H23" s="132"/>
      <c r="I23" s="148"/>
      <c r="J23" s="126"/>
      <c r="K23" s="147"/>
      <c r="L23" s="75"/>
    </row>
    <row r="24" spans="1:12" ht="12.75">
      <c r="A24" s="140" t="s">
        <v>188</v>
      </c>
      <c r="B24" s="119">
        <f>B23+B22</f>
        <v>0</v>
      </c>
      <c r="C24" s="119">
        <f>C23+C22</f>
        <v>0</v>
      </c>
      <c r="D24" s="119">
        <f>D23+D22</f>
        <v>0</v>
      </c>
      <c r="E24" s="220">
        <f>ROUND(B24-C24-D24,0)</f>
        <v>0</v>
      </c>
      <c r="F24" s="133">
        <f>IF(E24&lt;32736.01,((0.19*E24)-D6),IF(E24&lt;65472.01,0.3*(E24-32736)+5783.64,0.4*(E24-65472)+15604.44))</f>
        <v>-436.2</v>
      </c>
      <c r="G24" s="119">
        <f>G22+G23</f>
        <v>0</v>
      </c>
      <c r="H24" s="133">
        <f>F24-G24</f>
        <v>-436.2</v>
      </c>
      <c r="I24" s="119">
        <f>K12+K14+K16+K18+K20+K22</f>
        <v>0</v>
      </c>
      <c r="J24" s="125">
        <f>IF(H24&lt;0,0,IF((H24-I24)&lt;0,0,H24-I24))</f>
        <v>0</v>
      </c>
      <c r="K24" s="143">
        <f>(TRUNC((J24*10)+0.5))/10</f>
        <v>0</v>
      </c>
      <c r="L24" s="75"/>
    </row>
    <row r="25" spans="1:12" ht="12.75">
      <c r="A25" s="139" t="s">
        <v>177</v>
      </c>
      <c r="B25" s="224"/>
      <c r="C25" s="225"/>
      <c r="D25" s="224"/>
      <c r="E25" s="132">
        <f t="shared" si="0"/>
        <v>0</v>
      </c>
      <c r="F25" s="133"/>
      <c r="G25" s="224"/>
      <c r="H25" s="132"/>
      <c r="I25" s="148"/>
      <c r="J25" s="126"/>
      <c r="K25" s="147"/>
      <c r="L25" s="75"/>
    </row>
    <row r="26" spans="1:12" ht="12.75">
      <c r="A26" s="140" t="s">
        <v>189</v>
      </c>
      <c r="B26" s="119">
        <f>B25+B24</f>
        <v>0</v>
      </c>
      <c r="C26" s="119">
        <f>C25+C24</f>
        <v>0</v>
      </c>
      <c r="D26" s="119">
        <f>D25+D24</f>
        <v>0</v>
      </c>
      <c r="E26" s="220">
        <f>ROUND(B26-C26-D26,0)</f>
        <v>0</v>
      </c>
      <c r="F26" s="133">
        <f>IF(E26&lt;32736.01,((0.19*E26)-D6),IF(E26&lt;65472.01,0.3*(E26-32736)+5783.64,0.4*(E26-65472)+15604.44))</f>
        <v>-436.2</v>
      </c>
      <c r="G26" s="119">
        <f>G24+G25</f>
        <v>0</v>
      </c>
      <c r="H26" s="133">
        <f>F26-G26</f>
        <v>-436.2</v>
      </c>
      <c r="I26" s="119">
        <f>K12+K14+K16+K18+K20+K22+K24</f>
        <v>0</v>
      </c>
      <c r="J26" s="125">
        <f>IF(H26&lt;0,0,IF((H26-I26)&lt;0,0,H26-I26))</f>
        <v>0</v>
      </c>
      <c r="K26" s="143">
        <f>(TRUNC((J26*10)+0.5))/10</f>
        <v>0</v>
      </c>
      <c r="L26" s="75"/>
    </row>
    <row r="27" spans="1:12" ht="12.75">
      <c r="A27" s="139" t="s">
        <v>178</v>
      </c>
      <c r="B27" s="224"/>
      <c r="C27" s="225"/>
      <c r="D27" s="224"/>
      <c r="E27" s="132">
        <f t="shared" si="0"/>
        <v>0</v>
      </c>
      <c r="F27" s="133"/>
      <c r="G27" s="224"/>
      <c r="H27" s="132"/>
      <c r="I27" s="148"/>
      <c r="J27" s="126"/>
      <c r="K27" s="147"/>
      <c r="L27" s="75"/>
    </row>
    <row r="28" spans="1:12" ht="12.75">
      <c r="A28" s="140" t="s">
        <v>190</v>
      </c>
      <c r="B28" s="119">
        <f>B27+B26</f>
        <v>0</v>
      </c>
      <c r="C28" s="119">
        <f>C27+C26</f>
        <v>0</v>
      </c>
      <c r="D28" s="119">
        <f>D27+D26</f>
        <v>0</v>
      </c>
      <c r="E28" s="220">
        <f>ROUND(B28-C28-D28,0)</f>
        <v>0</v>
      </c>
      <c r="F28" s="133">
        <f>IF(E28&lt;32736.01,((0.19*E28)-D6),IF(E28&lt;65472.01,0.3*(E28-32736)+5783.64,0.4*(E28-65472)+15604.44))</f>
        <v>-436.2</v>
      </c>
      <c r="G28" s="119">
        <f>G26+G27</f>
        <v>0</v>
      </c>
      <c r="H28" s="133">
        <f>F28-G28</f>
        <v>-436.2</v>
      </c>
      <c r="I28" s="119">
        <f>K12+K14+K16+K18+K20+K22+K24+K26</f>
        <v>0</v>
      </c>
      <c r="J28" s="125">
        <f>IF(H28&lt;0,0,IF((H28-I28)&lt;0,0,H28-I28))</f>
        <v>0</v>
      </c>
      <c r="K28" s="143">
        <f>(TRUNC((J28*10)+0.5))/10</f>
        <v>0</v>
      </c>
      <c r="L28" s="75"/>
    </row>
    <row r="29" spans="1:12" ht="12.75">
      <c r="A29" s="139" t="s">
        <v>179</v>
      </c>
      <c r="B29" s="224"/>
      <c r="C29" s="225"/>
      <c r="D29" s="224"/>
      <c r="E29" s="132">
        <f t="shared" si="0"/>
        <v>0</v>
      </c>
      <c r="F29" s="133"/>
      <c r="G29" s="224"/>
      <c r="H29" s="132"/>
      <c r="I29" s="148"/>
      <c r="J29" s="126"/>
      <c r="K29" s="147"/>
      <c r="L29" s="75"/>
    </row>
    <row r="30" spans="1:12" ht="12.75">
      <c r="A30" s="140" t="s">
        <v>191</v>
      </c>
      <c r="B30" s="119">
        <f>B29+B28</f>
        <v>0</v>
      </c>
      <c r="C30" s="119">
        <f>C29+C28</f>
        <v>0</v>
      </c>
      <c r="D30" s="119">
        <f>D29+D28</f>
        <v>0</v>
      </c>
      <c r="E30" s="220">
        <f>ROUND(B30-C30-D30,0)</f>
        <v>0</v>
      </c>
      <c r="F30" s="133">
        <f>IF(E30&lt;32736.01,((0.19*E30)-D6),IF(E30&lt;65472.01,0.3*(E30-32736)+5783.64,0.4*(E30-65472)+15604.44))</f>
        <v>-436.2</v>
      </c>
      <c r="G30" s="119">
        <f>G28+G29</f>
        <v>0</v>
      </c>
      <c r="H30" s="133">
        <f>F30-G30</f>
        <v>-436.2</v>
      </c>
      <c r="I30" s="119">
        <f>K12+K14+K16+K18+K20+K22+K24+K26+K28</f>
        <v>0</v>
      </c>
      <c r="J30" s="125">
        <f>IF(H30&lt;0,0,IF((H30-I30)&lt;0,0,H30-I30))</f>
        <v>0</v>
      </c>
      <c r="K30" s="143">
        <f>(TRUNC((J30*10)+0.5))/10</f>
        <v>0</v>
      </c>
      <c r="L30" s="75"/>
    </row>
    <row r="31" spans="1:12" ht="12.75">
      <c r="A31" s="139" t="s">
        <v>180</v>
      </c>
      <c r="B31" s="224"/>
      <c r="C31" s="225"/>
      <c r="D31" s="224"/>
      <c r="E31" s="132">
        <f t="shared" si="0"/>
        <v>0</v>
      </c>
      <c r="F31" s="133"/>
      <c r="G31" s="224"/>
      <c r="H31" s="132"/>
      <c r="I31" s="148"/>
      <c r="J31" s="126"/>
      <c r="K31" s="147"/>
      <c r="L31" s="75"/>
    </row>
    <row r="32" spans="1:12" ht="12.75">
      <c r="A32" s="140" t="s">
        <v>192</v>
      </c>
      <c r="B32" s="119">
        <f>B31+B30</f>
        <v>0</v>
      </c>
      <c r="C32" s="119">
        <f>C31+C30</f>
        <v>0</v>
      </c>
      <c r="D32" s="119">
        <f>D31+D30</f>
        <v>0</v>
      </c>
      <c r="E32" s="220">
        <f>ROUND(B32-C32-D32,0)</f>
        <v>0</v>
      </c>
      <c r="F32" s="133">
        <f>IF(E32&lt;32736.01,((0.19*E32)-D6),IF(E32&lt;65472.01,0.3*(E32-32736)+5783.64,0.4*(E32-65472)+15604.44))</f>
        <v>-436.2</v>
      </c>
      <c r="G32" s="119">
        <f>G30+G31</f>
        <v>0</v>
      </c>
      <c r="H32" s="133">
        <f>F32-G32</f>
        <v>-436.2</v>
      </c>
      <c r="I32" s="119">
        <f>K12+K14+K16+K18+K20+K22+K24+K26+K28+K30</f>
        <v>0</v>
      </c>
      <c r="J32" s="125">
        <f>IF(H32&lt;0,0,IF((H32-I32)&lt;0,0,H32-I32))</f>
        <v>0</v>
      </c>
      <c r="K32" s="143">
        <f>(TRUNC((J32*10)+0.5))/10</f>
        <v>0</v>
      </c>
      <c r="L32" s="75"/>
    </row>
    <row r="33" spans="1:12" ht="12.75">
      <c r="A33" s="139" t="s">
        <v>181</v>
      </c>
      <c r="B33" s="224"/>
      <c r="C33" s="225"/>
      <c r="D33" s="224"/>
      <c r="E33" s="132">
        <f t="shared" si="0"/>
        <v>0</v>
      </c>
      <c r="F33" s="133"/>
      <c r="G33" s="224"/>
      <c r="H33" s="132"/>
      <c r="I33" s="148"/>
      <c r="J33" s="126"/>
      <c r="K33" s="147"/>
      <c r="L33" s="75"/>
    </row>
    <row r="34" spans="1:12" ht="12.75">
      <c r="A34" s="140" t="s">
        <v>193</v>
      </c>
      <c r="B34" s="76">
        <f>B33+B32</f>
        <v>0</v>
      </c>
      <c r="C34" s="76">
        <f>C33+C32</f>
        <v>0</v>
      </c>
      <c r="D34" s="76">
        <f>D33+D32</f>
        <v>0</v>
      </c>
      <c r="E34" s="220">
        <f>ROUND(B34-C34-D34,0)</f>
        <v>0</v>
      </c>
      <c r="F34" s="133">
        <f>IF(E34&lt;32736.01,((0.19*E34)-D6),IF(E34&lt;65472.01,0.3*(E34-32736)+5783.64,0.4*(E34-65472)+15604.44))</f>
        <v>-436.2</v>
      </c>
      <c r="G34" s="76">
        <f>G32+G33</f>
        <v>0</v>
      </c>
      <c r="H34" s="133">
        <f>F34-G34</f>
        <v>-436.2</v>
      </c>
      <c r="I34" s="119">
        <f>K12+K14+K16+K18+K20+K22+K24+K26+K28+K30+K32</f>
        <v>0</v>
      </c>
      <c r="J34" s="125">
        <f>IF(H34&lt;0,0,IF((H34-I34)&lt;0,0,H34-I34))</f>
        <v>0</v>
      </c>
      <c r="K34" s="158">
        <f>(TRUNC((J34*10)+0.5))/10</f>
        <v>0</v>
      </c>
      <c r="L34" s="75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</sheetData>
  <sheetProtection password="C8B7" sheet="1" objects="1" scenarios="1"/>
  <printOptions horizontalCentered="1"/>
  <pageMargins left="0.1968503937007874" right="0.1968503937007874" top="0.984251968503937" bottom="0.984251968503937" header="0" footer="0"/>
  <pageSetup blackAndWhite="1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K51"/>
  <sheetViews>
    <sheetView showGridLines="0" showRowColHeaders="0" workbookViewId="0" topLeftCell="A1">
      <selection activeCell="L22" sqref="L21:L22"/>
    </sheetView>
  </sheetViews>
  <sheetFormatPr defaultColWidth="9.00390625" defaultRowHeight="12.75"/>
  <cols>
    <col min="6" max="6" width="8.75390625" style="0" customWidth="1"/>
    <col min="7" max="7" width="10.625" style="0" customWidth="1"/>
    <col min="8" max="8" width="8.125" style="0" customWidth="1"/>
    <col min="10" max="10" width="9.625" style="0" customWidth="1"/>
  </cols>
  <sheetData>
    <row r="1" spans="1:10" ht="12.75">
      <c r="A1" s="80" t="s">
        <v>302</v>
      </c>
      <c r="B1" s="80"/>
      <c r="C1" s="80"/>
      <c r="D1" s="80"/>
      <c r="E1" s="80"/>
      <c r="F1" s="80"/>
      <c r="G1" s="80"/>
      <c r="H1" s="75"/>
      <c r="J1" s="77"/>
    </row>
    <row r="2" spans="1:10" ht="12.75">
      <c r="A2" s="84" t="s">
        <v>204</v>
      </c>
      <c r="B2" s="84"/>
      <c r="C2" s="121"/>
      <c r="D2" s="122"/>
      <c r="E2" s="123"/>
      <c r="G2" t="s">
        <v>294</v>
      </c>
      <c r="J2" s="77"/>
    </row>
    <row r="3" ht="12.75">
      <c r="J3" s="77"/>
    </row>
    <row r="4" spans="1:11" ht="13.5" thickBot="1">
      <c r="A4" s="70" t="s">
        <v>165</v>
      </c>
      <c r="B4" s="70"/>
      <c r="C4" s="70" t="s">
        <v>166</v>
      </c>
      <c r="D4" s="70"/>
      <c r="E4" s="70"/>
      <c r="F4" s="71" t="s">
        <v>167</v>
      </c>
      <c r="G4" s="70"/>
      <c r="H4" s="71"/>
      <c r="I4" s="70" t="s">
        <v>203</v>
      </c>
      <c r="J4" s="78"/>
      <c r="K4" s="70"/>
    </row>
    <row r="5" spans="1:11" ht="13.5" thickBot="1">
      <c r="A5" s="70"/>
      <c r="B5" s="70" t="s">
        <v>168</v>
      </c>
      <c r="C5" s="70"/>
      <c r="D5" s="81">
        <v>36.35</v>
      </c>
      <c r="E5" s="70"/>
      <c r="F5" s="222">
        <v>81.64</v>
      </c>
      <c r="G5" s="70"/>
      <c r="H5" s="71">
        <v>0</v>
      </c>
      <c r="I5" s="79">
        <v>32736</v>
      </c>
      <c r="J5" s="72" t="s">
        <v>303</v>
      </c>
      <c r="K5" s="70"/>
    </row>
    <row r="6" spans="1:11" ht="12.75">
      <c r="A6" s="70"/>
      <c r="B6" s="70" t="s">
        <v>169</v>
      </c>
      <c r="C6" s="70"/>
      <c r="D6" s="83">
        <v>436.2</v>
      </c>
      <c r="E6" s="70"/>
      <c r="F6" s="71"/>
      <c r="G6" s="70"/>
      <c r="H6" s="71">
        <v>32736</v>
      </c>
      <c r="I6" s="79">
        <v>65472</v>
      </c>
      <c r="J6" s="72" t="s">
        <v>304</v>
      </c>
      <c r="K6" s="70"/>
    </row>
    <row r="7" spans="1:11" ht="12.75">
      <c r="A7" s="70"/>
      <c r="B7" s="70"/>
      <c r="C7" s="70"/>
      <c r="D7" s="70"/>
      <c r="E7" s="70"/>
      <c r="F7" s="70"/>
      <c r="G7" s="70"/>
      <c r="H7" s="71">
        <v>65472</v>
      </c>
      <c r="I7" s="79"/>
      <c r="J7" s="72" t="s">
        <v>305</v>
      </c>
      <c r="K7" s="70"/>
    </row>
    <row r="8" spans="1:11" ht="12.75">
      <c r="A8" s="70"/>
      <c r="B8" s="70"/>
      <c r="C8" s="70"/>
      <c r="D8" s="70"/>
      <c r="E8" s="70"/>
      <c r="F8" s="70"/>
      <c r="G8" s="70"/>
      <c r="H8" s="82"/>
      <c r="I8" s="79"/>
      <c r="J8" s="72"/>
      <c r="K8" s="70"/>
    </row>
    <row r="9" spans="1:11" ht="12.75">
      <c r="A9" s="215" t="s">
        <v>291</v>
      </c>
      <c r="B9" s="216"/>
      <c r="C9" s="216"/>
      <c r="D9" s="216"/>
      <c r="E9" s="216"/>
      <c r="F9" s="216"/>
      <c r="G9" s="217"/>
      <c r="H9" s="221" t="s">
        <v>34</v>
      </c>
      <c r="I9" s="72"/>
      <c r="J9" s="78"/>
      <c r="K9" s="70"/>
    </row>
    <row r="10" spans="1:10" ht="12.75">
      <c r="A10" s="2"/>
      <c r="J10" s="77"/>
    </row>
    <row r="11" spans="1:11" ht="12.75">
      <c r="A11" s="141" t="s">
        <v>202</v>
      </c>
      <c r="B11" s="74" t="s">
        <v>194</v>
      </c>
      <c r="C11" s="74" t="s">
        <v>195</v>
      </c>
      <c r="D11" s="74" t="s">
        <v>196</v>
      </c>
      <c r="E11" s="134" t="s">
        <v>197</v>
      </c>
      <c r="F11" s="134" t="s">
        <v>198</v>
      </c>
      <c r="G11" s="129" t="s">
        <v>199</v>
      </c>
      <c r="H11" s="129" t="s">
        <v>201</v>
      </c>
      <c r="I11" s="129" t="s">
        <v>231</v>
      </c>
      <c r="J11" s="129" t="s">
        <v>233</v>
      </c>
      <c r="K11" s="180"/>
    </row>
    <row r="12" spans="1:11" ht="12.75">
      <c r="A12" s="139" t="s">
        <v>170</v>
      </c>
      <c r="B12" s="118"/>
      <c r="C12" s="124">
        <f>IF(B12&gt;0,F5,0)</f>
        <v>0</v>
      </c>
      <c r="D12" s="118"/>
      <c r="E12" s="132">
        <f>IF(B12&gt;0,B12-C12-D12,0)</f>
        <v>0</v>
      </c>
      <c r="F12" s="157">
        <f>IF(B12&gt;0,IF(E13&lt;32736.01,((0.19*E12)-D5),IF(E13&lt;65472.01,0.3*E12-D5,0.4*E12-D5)),0)</f>
        <v>0</v>
      </c>
      <c r="G12" s="118"/>
      <c r="H12" s="173">
        <f>IF(F12&gt;0,F12-G12,0)</f>
        <v>0</v>
      </c>
      <c r="I12" s="118"/>
      <c r="J12" s="181">
        <f>IF(B12&gt;0,B12-G12-D12-H12-I12,0)</f>
        <v>0</v>
      </c>
      <c r="K12" s="171"/>
    </row>
    <row r="13" spans="1:11" ht="12.75">
      <c r="A13" s="140" t="s">
        <v>182</v>
      </c>
      <c r="B13" s="76">
        <f>B12</f>
        <v>0</v>
      </c>
      <c r="C13" s="119">
        <f>C12</f>
        <v>0</v>
      </c>
      <c r="D13" s="76">
        <f>D12</f>
        <v>0</v>
      </c>
      <c r="E13" s="133">
        <f aca="true" t="shared" si="0" ref="E13:E35">B13-C13-D13</f>
        <v>0</v>
      </c>
      <c r="F13" s="133"/>
      <c r="G13" s="76"/>
      <c r="H13" s="174"/>
      <c r="I13" s="76"/>
      <c r="J13" s="182"/>
      <c r="K13" s="171"/>
    </row>
    <row r="14" spans="1:11" ht="12.75">
      <c r="A14" s="139" t="s">
        <v>171</v>
      </c>
      <c r="B14" s="118"/>
      <c r="C14" s="124">
        <f>IF(B14&gt;0,F5,0)</f>
        <v>0</v>
      </c>
      <c r="D14" s="118"/>
      <c r="E14" s="132">
        <f>IF(B14&gt;0,B14-C14-D14,0)</f>
        <v>0</v>
      </c>
      <c r="F14" s="157">
        <f>IF(B14&gt;0,IF(E15&lt;32736.01,((0.19*E14)-D5),IF(E15&lt;65472.01,0.3*E14-D5,0.4*E14-D5)),0)</f>
        <v>0</v>
      </c>
      <c r="G14" s="118"/>
      <c r="H14" s="173">
        <f aca="true" t="shared" si="1" ref="H14:H34">IF(F14&gt;0,F14-G14,0)</f>
        <v>0</v>
      </c>
      <c r="I14" s="118"/>
      <c r="J14" s="181">
        <f>IF(B14&gt;0,B14-G14-D14-H14-I14,0)</f>
        <v>0</v>
      </c>
      <c r="K14" s="171"/>
    </row>
    <row r="15" spans="1:11" ht="12.75">
      <c r="A15" s="140" t="s">
        <v>183</v>
      </c>
      <c r="B15" s="76">
        <f>B14+B13</f>
        <v>0</v>
      </c>
      <c r="C15" s="119">
        <f>C14+C13</f>
        <v>0</v>
      </c>
      <c r="D15" s="76">
        <f>D14+D13</f>
        <v>0</v>
      </c>
      <c r="E15" s="133">
        <f t="shared" si="0"/>
        <v>0</v>
      </c>
      <c r="F15" s="133"/>
      <c r="G15" s="76"/>
      <c r="H15" s="174"/>
      <c r="I15" s="76"/>
      <c r="J15" s="182"/>
      <c r="K15" s="171"/>
    </row>
    <row r="16" spans="1:11" ht="12.75">
      <c r="A16" s="139" t="s">
        <v>172</v>
      </c>
      <c r="B16" s="224"/>
      <c r="C16" s="124">
        <f>IF(B16&gt;0,F5,0)</f>
        <v>0</v>
      </c>
      <c r="D16" s="224"/>
      <c r="E16" s="132">
        <f>IF(B16&gt;0,B16-C16-D16,0)</f>
        <v>0</v>
      </c>
      <c r="F16" s="157">
        <f>IF(B16&gt;0,IF(E17&lt;32736.01,((0.19*E16)-D5),IF(E17&lt;65472.01,0.3*E16-D5,0.4*E16-D5)),0)</f>
        <v>0</v>
      </c>
      <c r="G16" s="224"/>
      <c r="H16" s="226">
        <f t="shared" si="1"/>
        <v>0</v>
      </c>
      <c r="I16" s="224"/>
      <c r="J16" s="181">
        <f>IF(B16&gt;0,B16-G16-D16-H16-I16,0)</f>
        <v>0</v>
      </c>
      <c r="K16" s="171"/>
    </row>
    <row r="17" spans="1:11" ht="12.75">
      <c r="A17" s="140" t="s">
        <v>184</v>
      </c>
      <c r="B17" s="119">
        <f>B16+B15</f>
        <v>0</v>
      </c>
      <c r="C17" s="119">
        <f>C16+C15</f>
        <v>0</v>
      </c>
      <c r="D17" s="119">
        <f>D16+D15</f>
        <v>0</v>
      </c>
      <c r="E17" s="133">
        <f t="shared" si="0"/>
        <v>0</v>
      </c>
      <c r="F17" s="133"/>
      <c r="G17" s="119"/>
      <c r="H17" s="227"/>
      <c r="I17" s="119"/>
      <c r="J17" s="182"/>
      <c r="K17" s="171"/>
    </row>
    <row r="18" spans="1:11" ht="12.75">
      <c r="A18" s="139" t="s">
        <v>173</v>
      </c>
      <c r="B18" s="224"/>
      <c r="C18" s="124">
        <f>IF(B18&gt;0,F5,0)</f>
        <v>0</v>
      </c>
      <c r="D18" s="224"/>
      <c r="E18" s="132">
        <f>IF(B18&gt;0,B18-C18-D18,0)</f>
        <v>0</v>
      </c>
      <c r="F18" s="157">
        <f>IF(B18&gt;0,IF(E19&lt;32736.01,((0.19*E18)-D5),IF(E19&lt;65472.01,0.3*E18-D5,0.4*E18-D5)),0)</f>
        <v>0</v>
      </c>
      <c r="G18" s="224"/>
      <c r="H18" s="226">
        <f t="shared" si="1"/>
        <v>0</v>
      </c>
      <c r="I18" s="224"/>
      <c r="J18" s="181">
        <f>IF(B18&gt;0,B18-G18-D18-H18-I18,0)</f>
        <v>0</v>
      </c>
      <c r="K18" s="171"/>
    </row>
    <row r="19" spans="1:11" ht="12.75">
      <c r="A19" s="140" t="s">
        <v>185</v>
      </c>
      <c r="B19" s="119">
        <f>B18+B17</f>
        <v>0</v>
      </c>
      <c r="C19" s="119">
        <f>C18+C17</f>
        <v>0</v>
      </c>
      <c r="D19" s="119">
        <f>D18+D17</f>
        <v>0</v>
      </c>
      <c r="E19" s="133">
        <f t="shared" si="0"/>
        <v>0</v>
      </c>
      <c r="F19" s="133"/>
      <c r="G19" s="119"/>
      <c r="H19" s="227"/>
      <c r="I19" s="119"/>
      <c r="J19" s="182"/>
      <c r="K19" s="171"/>
    </row>
    <row r="20" spans="1:11" ht="12.75">
      <c r="A20" s="139" t="s">
        <v>174</v>
      </c>
      <c r="B20" s="224"/>
      <c r="C20" s="124">
        <f>IF(B20&gt;0,F5,0)</f>
        <v>0</v>
      </c>
      <c r="D20" s="224"/>
      <c r="E20" s="132">
        <f>IF(B20&gt;0,B20-C20-D20,0)</f>
        <v>0</v>
      </c>
      <c r="F20" s="157">
        <f>IF(B20&gt;0,IF(E21&lt;32736.01,((0.19*E20)-D5),IF(E21&lt;65472.01,0.3*E20-D5,0.4*E20-D5)),0)</f>
        <v>0</v>
      </c>
      <c r="G20" s="224"/>
      <c r="H20" s="226">
        <f t="shared" si="1"/>
        <v>0</v>
      </c>
      <c r="I20" s="224"/>
      <c r="J20" s="181">
        <f>IF(B20&gt;0,B20-G20-D20-H20-I20,0)</f>
        <v>0</v>
      </c>
      <c r="K20" s="171"/>
    </row>
    <row r="21" spans="1:11" ht="12.75">
      <c r="A21" s="140" t="s">
        <v>186</v>
      </c>
      <c r="B21" s="119">
        <f>B20+B19</f>
        <v>0</v>
      </c>
      <c r="C21" s="119">
        <f>C20+C19</f>
        <v>0</v>
      </c>
      <c r="D21" s="119">
        <f>D20+D19</f>
        <v>0</v>
      </c>
      <c r="E21" s="133">
        <f t="shared" si="0"/>
        <v>0</v>
      </c>
      <c r="F21" s="133"/>
      <c r="G21" s="119"/>
      <c r="H21" s="227"/>
      <c r="I21" s="119"/>
      <c r="J21" s="182"/>
      <c r="K21" s="171"/>
    </row>
    <row r="22" spans="1:11" ht="12.75">
      <c r="A22" s="139" t="s">
        <v>175</v>
      </c>
      <c r="B22" s="224"/>
      <c r="C22" s="124">
        <f>IF(B22&gt;0,F5,0)</f>
        <v>0</v>
      </c>
      <c r="D22" s="224"/>
      <c r="E22" s="132">
        <f>IF(B22&gt;0,B22-C22-D22,0)</f>
        <v>0</v>
      </c>
      <c r="F22" s="157">
        <f>IF(B22&gt;0,IF(E23&lt;32736.01,((0.19*E22)-D5),IF(E23&lt;65472.01,0.3*E22-D5,0.4*E22-D5)),0)</f>
        <v>0</v>
      </c>
      <c r="G22" s="224"/>
      <c r="H22" s="226">
        <f t="shared" si="1"/>
        <v>0</v>
      </c>
      <c r="I22" s="224"/>
      <c r="J22" s="181">
        <f>IF(B22&gt;0,B22-G22-D22-H22-I22,0)</f>
        <v>0</v>
      </c>
      <c r="K22" s="171"/>
    </row>
    <row r="23" spans="1:11" ht="12.75">
      <c r="A23" s="140" t="s">
        <v>187</v>
      </c>
      <c r="B23" s="119">
        <f>B22+B21</f>
        <v>0</v>
      </c>
      <c r="C23" s="119">
        <f>C22+C21</f>
        <v>0</v>
      </c>
      <c r="D23" s="119">
        <f>D22+D21</f>
        <v>0</v>
      </c>
      <c r="E23" s="133">
        <f t="shared" si="0"/>
        <v>0</v>
      </c>
      <c r="F23" s="133"/>
      <c r="G23" s="119"/>
      <c r="H23" s="227"/>
      <c r="I23" s="119"/>
      <c r="J23" s="182"/>
      <c r="K23" s="171"/>
    </row>
    <row r="24" spans="1:11" ht="12.75">
      <c r="A24" s="139" t="s">
        <v>176</v>
      </c>
      <c r="B24" s="224"/>
      <c r="C24" s="124">
        <f>IF(B24&gt;0,F5,0)</f>
        <v>0</v>
      </c>
      <c r="D24" s="224"/>
      <c r="E24" s="132">
        <f>IF(B24&gt;0,B24-C24-D24,0)</f>
        <v>0</v>
      </c>
      <c r="F24" s="157">
        <f>IF(B24&gt;0,IF(E25&lt;32736.01,((0.19*E24)-D5),IF(E25&lt;65472.01,0.3*E24-D5,0.4*E24-D5)),0)</f>
        <v>0</v>
      </c>
      <c r="G24" s="224"/>
      <c r="H24" s="226">
        <f t="shared" si="1"/>
        <v>0</v>
      </c>
      <c r="I24" s="224"/>
      <c r="J24" s="181">
        <f>IF(B24&gt;0,B24-G24-D24-H24-I24,0)</f>
        <v>0</v>
      </c>
      <c r="K24" s="171"/>
    </row>
    <row r="25" spans="1:11" ht="12.75">
      <c r="A25" s="140" t="s">
        <v>188</v>
      </c>
      <c r="B25" s="119">
        <f>B24+B23</f>
        <v>0</v>
      </c>
      <c r="C25" s="119">
        <f>C24+C23</f>
        <v>0</v>
      </c>
      <c r="D25" s="119">
        <f>D24+D23</f>
        <v>0</v>
      </c>
      <c r="E25" s="133">
        <f t="shared" si="0"/>
        <v>0</v>
      </c>
      <c r="F25" s="133"/>
      <c r="G25" s="119"/>
      <c r="H25" s="227"/>
      <c r="I25" s="119"/>
      <c r="J25" s="182"/>
      <c r="K25" s="171"/>
    </row>
    <row r="26" spans="1:11" ht="12.75">
      <c r="A26" s="139" t="s">
        <v>177</v>
      </c>
      <c r="B26" s="224"/>
      <c r="C26" s="124">
        <f>IF(B26&gt;0,F5,0)</f>
        <v>0</v>
      </c>
      <c r="D26" s="224"/>
      <c r="E26" s="132">
        <f>IF(B26&gt;0,B26-C26-D26,0)</f>
        <v>0</v>
      </c>
      <c r="F26" s="157">
        <f>IF(B26&gt;0,IF(E27&lt;32736.01,((0.19*E26)-D5),IF(E27&lt;65472.01,0.3*E26-D5,0.4*E26-D5)),0)</f>
        <v>0</v>
      </c>
      <c r="G26" s="224"/>
      <c r="H26" s="226">
        <f t="shared" si="1"/>
        <v>0</v>
      </c>
      <c r="I26" s="224"/>
      <c r="J26" s="181">
        <f>IF(B26&gt;0,B26-G26-D26-H26-I26,0)</f>
        <v>0</v>
      </c>
      <c r="K26" s="171"/>
    </row>
    <row r="27" spans="1:11" ht="12.75">
      <c r="A27" s="140" t="s">
        <v>189</v>
      </c>
      <c r="B27" s="119">
        <f>B26+B25</f>
        <v>0</v>
      </c>
      <c r="C27" s="119">
        <f>C26+C25</f>
        <v>0</v>
      </c>
      <c r="D27" s="119">
        <f>D26+D25</f>
        <v>0</v>
      </c>
      <c r="E27" s="133">
        <f t="shared" si="0"/>
        <v>0</v>
      </c>
      <c r="F27" s="133"/>
      <c r="G27" s="119"/>
      <c r="H27" s="227"/>
      <c r="I27" s="119"/>
      <c r="J27" s="182"/>
      <c r="K27" s="171"/>
    </row>
    <row r="28" spans="1:11" ht="12.75">
      <c r="A28" s="139" t="s">
        <v>178</v>
      </c>
      <c r="B28" s="224"/>
      <c r="C28" s="124">
        <f>IF(B28&gt;0,F5,0)</f>
        <v>0</v>
      </c>
      <c r="D28" s="224"/>
      <c r="E28" s="132">
        <f>IF(B28&gt;0,B28-C28-D28,0)</f>
        <v>0</v>
      </c>
      <c r="F28" s="157">
        <f>IF(B28&gt;0,IF(E29&lt;32736.01,((0.19*E28)-D5),IF(E29&lt;65472.01,0.3*E28-D5,0.4*E28-D5)),0)</f>
        <v>0</v>
      </c>
      <c r="G28" s="224"/>
      <c r="H28" s="226">
        <f t="shared" si="1"/>
        <v>0</v>
      </c>
      <c r="I28" s="224"/>
      <c r="J28" s="181">
        <f>IF(B28&gt;0,B28-G28-D28-H28-I28,0)</f>
        <v>0</v>
      </c>
      <c r="K28" s="171"/>
    </row>
    <row r="29" spans="1:11" ht="12.75">
      <c r="A29" s="140" t="s">
        <v>190</v>
      </c>
      <c r="B29" s="119">
        <f>B28+B27</f>
        <v>0</v>
      </c>
      <c r="C29" s="119">
        <f>C28+C27</f>
        <v>0</v>
      </c>
      <c r="D29" s="119">
        <f>D28+D27</f>
        <v>0</v>
      </c>
      <c r="E29" s="133">
        <f t="shared" si="0"/>
        <v>0</v>
      </c>
      <c r="F29" s="133"/>
      <c r="G29" s="119"/>
      <c r="H29" s="227"/>
      <c r="I29" s="119"/>
      <c r="J29" s="182"/>
      <c r="K29" s="171"/>
    </row>
    <row r="30" spans="1:11" ht="12.75">
      <c r="A30" s="139" t="s">
        <v>179</v>
      </c>
      <c r="B30" s="224"/>
      <c r="C30" s="124">
        <f>IF(B30&gt;0,F5,0)</f>
        <v>0</v>
      </c>
      <c r="D30" s="224"/>
      <c r="E30" s="132">
        <f>IF(B30&gt;0,B30-C30-D30,0)</f>
        <v>0</v>
      </c>
      <c r="F30" s="157">
        <f>IF(B30&gt;0,IF(E31&lt;32736.01,((0.19*E30)-D5),IF(E31&lt;65472.01,0.3*E30-D5,0.4*E30-D5)),0)</f>
        <v>0</v>
      </c>
      <c r="G30" s="224"/>
      <c r="H30" s="226">
        <f t="shared" si="1"/>
        <v>0</v>
      </c>
      <c r="I30" s="224"/>
      <c r="J30" s="181">
        <f>IF(B30&gt;0,B30-G30-D30-H30-I30,0)</f>
        <v>0</v>
      </c>
      <c r="K30" s="171"/>
    </row>
    <row r="31" spans="1:11" ht="12.75">
      <c r="A31" s="140" t="s">
        <v>191</v>
      </c>
      <c r="B31" s="119">
        <f>B30+B29</f>
        <v>0</v>
      </c>
      <c r="C31" s="119">
        <f>C30+C29</f>
        <v>0</v>
      </c>
      <c r="D31" s="119">
        <f>D30+D29</f>
        <v>0</v>
      </c>
      <c r="E31" s="133">
        <f t="shared" si="0"/>
        <v>0</v>
      </c>
      <c r="F31" s="133"/>
      <c r="G31" s="119"/>
      <c r="H31" s="227"/>
      <c r="I31" s="119"/>
      <c r="J31" s="182"/>
      <c r="K31" s="171"/>
    </row>
    <row r="32" spans="1:11" ht="12.75">
      <c r="A32" s="139" t="s">
        <v>180</v>
      </c>
      <c r="B32" s="224"/>
      <c r="C32" s="124">
        <f>IF(B32&gt;0,F5,0)</f>
        <v>0</v>
      </c>
      <c r="D32" s="224"/>
      <c r="E32" s="132">
        <f>IF(B32&gt;0,B32-C32-D32,0)</f>
        <v>0</v>
      </c>
      <c r="F32" s="157">
        <f>IF(B32&gt;0,IF(E33&lt;32736.01,((0.19*E32)-D5),IF(E33&lt;65472.01,0.3*E32-D5,0.4*E32-D5)),0)</f>
        <v>0</v>
      </c>
      <c r="G32" s="224"/>
      <c r="H32" s="226">
        <f t="shared" si="1"/>
        <v>0</v>
      </c>
      <c r="I32" s="224"/>
      <c r="J32" s="181">
        <f>IF(B32&gt;0,B32-G32-D32-H32-I32,0)</f>
        <v>0</v>
      </c>
      <c r="K32" s="171"/>
    </row>
    <row r="33" spans="1:11" ht="12.75">
      <c r="A33" s="140" t="s">
        <v>192</v>
      </c>
      <c r="B33" s="119">
        <f>B32+B31</f>
        <v>0</v>
      </c>
      <c r="C33" s="119">
        <f>C32+C31</f>
        <v>0</v>
      </c>
      <c r="D33" s="119">
        <f>D32+D31</f>
        <v>0</v>
      </c>
      <c r="E33" s="133">
        <f t="shared" si="0"/>
        <v>0</v>
      </c>
      <c r="F33" s="133"/>
      <c r="G33" s="119"/>
      <c r="H33" s="227"/>
      <c r="I33" s="119"/>
      <c r="J33" s="182"/>
      <c r="K33" s="171"/>
    </row>
    <row r="34" spans="1:11" ht="12.75">
      <c r="A34" s="139" t="s">
        <v>181</v>
      </c>
      <c r="B34" s="224"/>
      <c r="C34" s="124">
        <f>IF(B34&gt;0,F5,0)</f>
        <v>0</v>
      </c>
      <c r="D34" s="224"/>
      <c r="E34" s="132">
        <f>IF(B34&gt;0,B34-C34-D34,0)</f>
        <v>0</v>
      </c>
      <c r="F34" s="157">
        <f>IF(B34&gt;0,IF(E35&lt;32736.01,((0.19*E34)-D5),IF(E35&lt;65472.01,0.3*E34-D5,0.4*E34-D5)),0)</f>
        <v>0</v>
      </c>
      <c r="G34" s="224"/>
      <c r="H34" s="226">
        <f t="shared" si="1"/>
        <v>0</v>
      </c>
      <c r="I34" s="224"/>
      <c r="J34" s="181">
        <f>IF(B34&gt;0,B34-G34-D34-H34-I34,0)</f>
        <v>0</v>
      </c>
      <c r="K34" s="171"/>
    </row>
    <row r="35" spans="1:11" ht="12.75">
      <c r="A35" s="140" t="s">
        <v>193</v>
      </c>
      <c r="B35" s="119">
        <f>B34+B33</f>
        <v>0</v>
      </c>
      <c r="C35" s="119">
        <f>C34+C33</f>
        <v>0</v>
      </c>
      <c r="D35" s="119">
        <f>D34+D33</f>
        <v>0</v>
      </c>
      <c r="E35" s="133">
        <f t="shared" si="0"/>
        <v>0</v>
      </c>
      <c r="F35" s="157"/>
      <c r="G35" s="119"/>
      <c r="H35" s="133"/>
      <c r="I35" s="119"/>
      <c r="J35" s="182"/>
      <c r="K35" s="171"/>
    </row>
    <row r="36" spans="1:11" ht="12.75">
      <c r="A36" s="154"/>
      <c r="B36" s="152"/>
      <c r="C36" s="155"/>
      <c r="D36" s="152"/>
      <c r="E36" s="156"/>
      <c r="F36" s="161" t="s">
        <v>236</v>
      </c>
      <c r="G36" s="76">
        <f>SUM(G12:G35)</f>
        <v>0</v>
      </c>
      <c r="H36" s="175">
        <f>SUM(H12:H35)</f>
        <v>0</v>
      </c>
      <c r="I36" s="159">
        <f>SUM(I12:I34)</f>
        <v>0</v>
      </c>
      <c r="J36" s="160">
        <f>SUM(J12:J35)</f>
        <v>0</v>
      </c>
      <c r="K36" s="171"/>
    </row>
    <row r="37" spans="1:11" ht="12.75">
      <c r="A37" s="154"/>
      <c r="B37" s="152"/>
      <c r="C37" s="155"/>
      <c r="D37" s="152"/>
      <c r="E37" s="156"/>
      <c r="F37" s="156"/>
      <c r="G37" s="152"/>
      <c r="H37" s="169"/>
      <c r="I37" s="152"/>
      <c r="J37" s="170"/>
      <c r="K37" s="171"/>
    </row>
    <row r="38" spans="1:11" ht="12.75">
      <c r="A38" s="154"/>
      <c r="B38" s="152"/>
      <c r="C38" s="155"/>
      <c r="D38" s="152"/>
      <c r="E38" s="156"/>
      <c r="F38" s="156"/>
      <c r="G38" s="152"/>
      <c r="H38" s="169"/>
      <c r="I38" s="152"/>
      <c r="J38" s="170"/>
      <c r="K38" s="171"/>
    </row>
    <row r="40" ht="12.75">
      <c r="A40" t="s">
        <v>234</v>
      </c>
    </row>
    <row r="42" spans="1:11" ht="12.75">
      <c r="A42" s="149" t="s">
        <v>229</v>
      </c>
      <c r="B42" s="168">
        <v>1</v>
      </c>
      <c r="C42" s="178" t="s">
        <v>194</v>
      </c>
      <c r="D42" s="179" t="s">
        <v>196</v>
      </c>
      <c r="E42" s="153"/>
      <c r="F42" s="178" t="s">
        <v>250</v>
      </c>
      <c r="G42" s="153"/>
      <c r="H42" s="153" t="s">
        <v>230</v>
      </c>
      <c r="I42" s="150" t="s">
        <v>232</v>
      </c>
      <c r="J42" s="150" t="s">
        <v>231</v>
      </c>
      <c r="K42" s="151" t="s">
        <v>233</v>
      </c>
    </row>
    <row r="43" spans="1:11" ht="12.75">
      <c r="A43" s="124">
        <f>C2</f>
        <v>0</v>
      </c>
      <c r="B43" s="163"/>
      <c r="C43" s="162">
        <f>IF(B42=1,B12,IF(B42=2,B14,IF(B42=3,B16,IF(B42=4,B18,IF(B42=5,B20,IF(B42=6,B22,"BŁĄD mc"))))))</f>
        <v>0</v>
      </c>
      <c r="D43" s="162">
        <f>IF(B42=1,D12,IF(B42=2,D14,IF(B42=3,D16,IF(B42=4,D18,IF(B42=5,D20,IF(B42=6,D22,"BŁĄD mc"))))))</f>
        <v>0</v>
      </c>
      <c r="E43" s="163"/>
      <c r="F43" s="162"/>
      <c r="G43" s="177">
        <f>IF(B42=1,G12,IF(B42=2,G14,IF(B42=3,G16,IF(B42=4,G18,IF(B42=5,G20,IF(B42=6,G22,"BŁĄD mc"))))))</f>
        <v>0</v>
      </c>
      <c r="H43" s="162">
        <f>IF(B42=1,H12,IF(B42=2,H14,IF(B42=3,H16,IF(B42=4,H18,IF(B42=5,H20,IF(B42=6,H22,"BŁĄD mc"))))))</f>
        <v>0</v>
      </c>
      <c r="I43" s="162">
        <f>IF(C43&gt;0,C43-D43-G43-H43,0)</f>
        <v>0</v>
      </c>
      <c r="J43" s="162">
        <f>IF(B42=1,I12,IF(B42=2,I14,IF(B42=3,I16,IF(B42=4,I18,IF(B42=5,I20,IF(B42=6,I22,"BŁĄD mc"))))))</f>
        <v>0</v>
      </c>
      <c r="K43" s="164">
        <f>I43-J43</f>
        <v>0</v>
      </c>
    </row>
    <row r="44" spans="1:11" ht="12.75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7"/>
    </row>
    <row r="45" spans="1:11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</row>
    <row r="47" ht="12.75">
      <c r="A47" t="s">
        <v>235</v>
      </c>
    </row>
    <row r="49" spans="1:11" ht="12.75">
      <c r="A49" s="149" t="s">
        <v>229</v>
      </c>
      <c r="B49" s="168">
        <v>7</v>
      </c>
      <c r="C49" s="178" t="s">
        <v>194</v>
      </c>
      <c r="D49" s="179" t="s">
        <v>196</v>
      </c>
      <c r="E49" s="178"/>
      <c r="F49" s="176" t="s">
        <v>250</v>
      </c>
      <c r="G49" s="153"/>
      <c r="H49" s="153" t="s">
        <v>230</v>
      </c>
      <c r="I49" s="150" t="s">
        <v>232</v>
      </c>
      <c r="J49" s="150" t="s">
        <v>231</v>
      </c>
      <c r="K49" s="151" t="s">
        <v>233</v>
      </c>
    </row>
    <row r="50" spans="1:11" ht="12.75">
      <c r="A50" s="124">
        <f>C2</f>
        <v>0</v>
      </c>
      <c r="B50" s="163"/>
      <c r="C50" s="162">
        <f>IF(B49=7,B24,IF(B49=8,B26,IF(B49=9,B28,IF(B49=10,B30,IF(B49=11,B32,IF(B49=12,B34,"BŁĄD mc"))))))</f>
        <v>0</v>
      </c>
      <c r="D50" s="162">
        <f>IF(B49=7,D24,IF(B49=8,D26,IF(B49=9,D28,IF(B49=10,D30,IF(B49=11,D32,IF(B49=12,D34,"BŁĄD mc"))))))</f>
        <v>0</v>
      </c>
      <c r="E50" s="163"/>
      <c r="F50" s="162"/>
      <c r="G50" s="177">
        <f>IF(B49=7,G24,IF(B49=8,G26,IF(B49=9,G28,IF(B49=10,G30,IF(B49=11,G32,IF(B49=12,G34,"BŁĄD mc"))))))</f>
        <v>0</v>
      </c>
      <c r="H50" s="162">
        <f>IF(B49=7,H24,IF(B49=8,H26,IF(B49=9,H28,IF(B49=10,H30,IF(B49=11,H32,IF(B49=12,H34,"BŁĄD mc"))))))</f>
        <v>0</v>
      </c>
      <c r="I50" s="162">
        <f>IF(C50&gt;0,C50-D50-G50-H50,0)</f>
        <v>0</v>
      </c>
      <c r="J50" s="162">
        <f>IF(B49=7,I24,IF(B49=8,I26,IF(B49=9,I28,IF(B49=10,I30,IF(B49=11,I32,IF(B49=12,I34,"BŁĄD mc"))))))</f>
        <v>0</v>
      </c>
      <c r="K50" s="164">
        <f>I50-J50</f>
        <v>0</v>
      </c>
    </row>
    <row r="51" spans="1:11" ht="12.75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6"/>
    </row>
  </sheetData>
  <sheetProtection password="C8B7" sheet="1" objects="1" scenarios="1"/>
  <printOptions/>
  <pageMargins left="0.1968503937007874" right="0.1968503937007874" top="0.984251968503937" bottom="0.984251968503937" header="0" footer="0"/>
  <pageSetup blackAndWhite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 R Z E S I A K</cp:lastModifiedBy>
  <cp:lastPrinted>1999-02-06T11:52:54Z</cp:lastPrinted>
  <dcterms:created xsi:type="dcterms:W3CDTF">1998-12-14T12:36:02Z</dcterms:created>
  <cp:category/>
  <cp:version/>
  <cp:contentType/>
  <cp:contentStatus/>
</cp:coreProperties>
</file>